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35n799\Box Sync\DATA\RPROJ\GEOPAVE\MDT 2017 Test Sections\Design Model\Protected\"/>
    </mc:Choice>
  </mc:AlternateContent>
  <xr:revisionPtr revIDLastSave="0" documentId="13_ncr:1_{554FBC76-5F70-4E79-A3A0-168AF919A1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STER" sheetId="15" r:id="rId1"/>
    <sheet name="TBR_BCR_0" sheetId="11" state="hidden" r:id="rId2"/>
    <sheet name="BCR_S_TBR_1" sheetId="12" state="hidden" r:id="rId3"/>
    <sheet name="BCR_B_TBR_1" sheetId="16" state="hidden" r:id="rId4"/>
    <sheet name="BCR_T_TBR_1" sheetId="17" state="hidden" r:id="rId5"/>
    <sheet name="BCRTBR_S_BCR" sheetId="13" state="hidden" r:id="rId6"/>
    <sheet name="BCRTBR_S_TBR" sheetId="14" state="hidden" r:id="rId7"/>
    <sheet name="BCRTBR_B_BCR" sheetId="18" state="hidden" r:id="rId8"/>
    <sheet name="BCRTBR_B_TBR" sheetId="19" state="hidden" r:id="rId9"/>
    <sheet name="BCRTBR_T_BCR" sheetId="20" state="hidden" r:id="rId10"/>
    <sheet name="BCRTBR_T_TBR" sheetId="21" state="hidden" r:id="rId11"/>
  </sheets>
  <definedNames>
    <definedName name="_xlnm._FilterDatabase" localSheetId="3" hidden="1">BCR_B_TBR_1!$A$20</definedName>
    <definedName name="_xlnm._FilterDatabase" localSheetId="2" hidden="1">BCR_S_TBR_1!$A$20</definedName>
    <definedName name="_xlnm._FilterDatabase" localSheetId="4" hidden="1">BCR_T_TBR_1!$A$20</definedName>
    <definedName name="_xlnm._FilterDatabase" localSheetId="7" hidden="1">BCRTBR_B_BCR!$A$20</definedName>
    <definedName name="_xlnm._FilterDatabase" localSheetId="8" hidden="1">BCRTBR_B_TBR!$A$20</definedName>
    <definedName name="_xlnm._FilterDatabase" localSheetId="5" hidden="1">BCRTBR_S_BCR!$A$20</definedName>
    <definedName name="_xlnm._FilterDatabase" localSheetId="6" hidden="1">BCRTBR_S_TBR!$A$20</definedName>
    <definedName name="_xlnm._FilterDatabase" localSheetId="9" hidden="1">BCRTBR_T_BCR!$A$20</definedName>
    <definedName name="_xlnm._FilterDatabase" localSheetId="10" hidden="1">BCRTBR_T_TBR!$A$20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6" l="1"/>
  <c r="F7" i="16"/>
  <c r="C8" i="16"/>
  <c r="C10" i="16"/>
  <c r="C11" i="16"/>
  <c r="C12" i="16"/>
  <c r="C13" i="16"/>
  <c r="B14" i="16"/>
  <c r="C14" i="16"/>
  <c r="B15" i="16"/>
  <c r="C15" i="16"/>
  <c r="C4" i="12"/>
  <c r="F7" i="12"/>
  <c r="C8" i="12"/>
  <c r="C10" i="12"/>
  <c r="C11" i="12"/>
  <c r="C12" i="12"/>
  <c r="C13" i="12"/>
  <c r="B14" i="12"/>
  <c r="C14" i="12"/>
  <c r="B15" i="12"/>
  <c r="C15" i="12" s="1"/>
  <c r="C4" i="17"/>
  <c r="F7" i="17"/>
  <c r="C8" i="17"/>
  <c r="C10" i="17"/>
  <c r="C11" i="17"/>
  <c r="C12" i="17"/>
  <c r="C13" i="17"/>
  <c r="B14" i="17"/>
  <c r="C14" i="17"/>
  <c r="B15" i="17"/>
  <c r="C15" i="17"/>
  <c r="C4" i="18"/>
  <c r="C6" i="18"/>
  <c r="C9" i="18"/>
  <c r="C11" i="18"/>
  <c r="C12" i="18"/>
  <c r="C13" i="18"/>
  <c r="C14" i="18"/>
  <c r="B15" i="18"/>
  <c r="B16" i="18" s="1"/>
  <c r="C16" i="18" s="1"/>
  <c r="C15" i="18"/>
  <c r="C4" i="19"/>
  <c r="C6" i="19"/>
  <c r="B7" i="19"/>
  <c r="C9" i="19"/>
  <c r="C11" i="19"/>
  <c r="C12" i="19"/>
  <c r="C13" i="19"/>
  <c r="C14" i="19"/>
  <c r="B15" i="19"/>
  <c r="B16" i="19" s="1"/>
  <c r="C16" i="19" s="1"/>
  <c r="C15" i="19"/>
  <c r="C4" i="13"/>
  <c r="C6" i="13"/>
  <c r="C9" i="13"/>
  <c r="C11" i="13"/>
  <c r="C12" i="13"/>
  <c r="C13" i="13"/>
  <c r="C14" i="13"/>
  <c r="B15" i="13"/>
  <c r="C15" i="13"/>
  <c r="B16" i="13"/>
  <c r="C16" i="13"/>
  <c r="C4" i="14"/>
  <c r="C6" i="14"/>
  <c r="C9" i="14"/>
  <c r="C11" i="14"/>
  <c r="C12" i="14"/>
  <c r="C13" i="14"/>
  <c r="C14" i="14"/>
  <c r="B15" i="14"/>
  <c r="B16" i="14" s="1"/>
  <c r="C16" i="14" s="1"/>
  <c r="C15" i="14"/>
  <c r="C4" i="20"/>
  <c r="C6" i="20"/>
  <c r="B7" i="20"/>
  <c r="C7" i="20"/>
  <c r="C9" i="20"/>
  <c r="C11" i="20"/>
  <c r="C12" i="20"/>
  <c r="C13" i="20"/>
  <c r="C14" i="20"/>
  <c r="B15" i="20"/>
  <c r="C15" i="20" s="1"/>
  <c r="C4" i="21"/>
  <c r="C6" i="21"/>
  <c r="C9" i="21"/>
  <c r="C11" i="21"/>
  <c r="C12" i="21"/>
  <c r="C13" i="21"/>
  <c r="C14" i="21"/>
  <c r="B15" i="21"/>
  <c r="C15" i="21"/>
  <c r="B16" i="21"/>
  <c r="C16" i="21"/>
  <c r="A4" i="11"/>
  <c r="B3" i="16" s="1"/>
  <c r="B4" i="11"/>
  <c r="B7" i="18" s="1"/>
  <c r="C7" i="18" s="1"/>
  <c r="C4" i="11"/>
  <c r="N4" i="11" s="1"/>
  <c r="D4" i="11"/>
  <c r="E4" i="11"/>
  <c r="F4" i="11"/>
  <c r="G4" i="11"/>
  <c r="H4" i="11"/>
  <c r="I4" i="11"/>
  <c r="J4" i="11"/>
  <c r="A13" i="11"/>
  <c r="B3" i="13" l="1"/>
  <c r="C3" i="13" s="1"/>
  <c r="B3" i="21"/>
  <c r="C3" i="21" s="1"/>
  <c r="C7" i="21" s="1"/>
  <c r="AC4" i="11"/>
  <c r="AD4" i="11" s="1"/>
  <c r="AE4" i="11" s="1"/>
  <c r="AF4" i="11" s="1"/>
  <c r="AG4" i="11" s="1"/>
  <c r="AH4" i="11" s="1"/>
  <c r="AI4" i="11" s="1"/>
  <c r="B5" i="18" s="1"/>
  <c r="C5" i="18" s="1"/>
  <c r="K4" i="11"/>
  <c r="B3" i="12"/>
  <c r="C3" i="12" s="1"/>
  <c r="B3" i="18"/>
  <c r="C3" i="18" s="1"/>
  <c r="C10" i="18" s="1"/>
  <c r="C17" i="18" s="1"/>
  <c r="B3" i="17"/>
  <c r="C3" i="17" s="1"/>
  <c r="B9" i="16"/>
  <c r="C3" i="16"/>
  <c r="B6" i="16"/>
  <c r="L4" i="11"/>
  <c r="M4" i="11" s="1"/>
  <c r="B7" i="21"/>
  <c r="Q4" i="11"/>
  <c r="R4" i="11" s="1"/>
  <c r="B3" i="14"/>
  <c r="B7" i="13"/>
  <c r="B10" i="18"/>
  <c r="B17" i="18" s="1"/>
  <c r="B6" i="12"/>
  <c r="B16" i="20"/>
  <c r="C16" i="20" s="1"/>
  <c r="B7" i="14"/>
  <c r="B6" i="17"/>
  <c r="B3" i="20"/>
  <c r="B3" i="19"/>
  <c r="C19" i="18" l="1"/>
  <c r="B5" i="16"/>
  <c r="C5" i="16" s="1"/>
  <c r="B5" i="19"/>
  <c r="C5" i="19" s="1"/>
  <c r="S4" i="11"/>
  <c r="U4" i="11" s="1"/>
  <c r="B10" i="14"/>
  <c r="B17" i="14" s="1"/>
  <c r="C17" i="14" s="1"/>
  <c r="C3" i="14"/>
  <c r="C7" i="14" s="1"/>
  <c r="C19" i="14" s="1"/>
  <c r="C3" i="20"/>
  <c r="C10" i="20" s="1"/>
  <c r="C17" i="20" s="1"/>
  <c r="B10" i="20"/>
  <c r="B17" i="20" s="1"/>
  <c r="B9" i="17"/>
  <c r="B9" i="12"/>
  <c r="C3" i="19"/>
  <c r="C7" i="19" s="1"/>
  <c r="C19" i="19" s="1"/>
  <c r="B10" i="19"/>
  <c r="B17" i="19" s="1"/>
  <c r="C17" i="19" s="1"/>
  <c r="O4" i="11"/>
  <c r="B16" i="16"/>
  <c r="C6" i="16"/>
  <c r="C9" i="16" s="1"/>
  <c r="C16" i="16" s="1"/>
  <c r="C19" i="21"/>
  <c r="B10" i="21"/>
  <c r="B17" i="21" s="1"/>
  <c r="C17" i="21" s="1"/>
  <c r="B10" i="13"/>
  <c r="B17" i="13" s="1"/>
  <c r="C7" i="13"/>
  <c r="C10" i="13" s="1"/>
  <c r="C17" i="13" s="1"/>
  <c r="C19" i="13" l="1"/>
  <c r="C19" i="20"/>
  <c r="B16" i="12"/>
  <c r="C6" i="12"/>
  <c r="P4" i="11"/>
  <c r="T4" i="11" s="1"/>
  <c r="V4" i="11" s="1"/>
  <c r="W4" i="11" s="1"/>
  <c r="X4" i="11" s="1"/>
  <c r="Y4" i="11" s="1"/>
  <c r="Z4" i="11" s="1"/>
  <c r="AA4" i="11" s="1"/>
  <c r="AB4" i="11" s="1"/>
  <c r="C18" i="16"/>
  <c r="C6" i="17"/>
  <c r="B16" i="17"/>
  <c r="B5" i="13" l="1"/>
  <c r="C5" i="13" s="1"/>
  <c r="B5" i="12"/>
  <c r="C5" i="12" s="1"/>
  <c r="B5" i="14"/>
  <c r="C5" i="14" s="1"/>
  <c r="AJ4" i="11"/>
  <c r="C9" i="17"/>
  <c r="C16" i="17" s="1"/>
  <c r="C18" i="17"/>
  <c r="C9" i="12"/>
  <c r="C16" i="12" s="1"/>
  <c r="C18" i="12"/>
  <c r="B5" i="21" l="1"/>
  <c r="C5" i="21" s="1"/>
  <c r="B5" i="17"/>
  <c r="C5" i="17" s="1"/>
  <c r="B5" i="20"/>
  <c r="C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Perkins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Specify the design thickness of the asphalt concrete layer, in units of mm, from the design of the unreinforced pavement.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Design value of asphalt concrete strucural layer coefficient from AASHTO 1993 pavement design guide. Layer coefficient corresponds to a layer thickness in units of inches.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Specify the design thickness of the base aggregate layer, in units of mm, from the design of the unreinforced pavement.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Design value of base aggregate structural layer coefficient from AASHTO 1993 pavement design guide. Layer coefficient corresponds to a layer thickness in units of inches.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Design value of base aggregate layer drainage coefficient from AASHTO 1993 pavement design guide.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Specify the design thickness of the subbase aggregate layer, in units of mm, from the design of the unreinforced pavement.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Design value of subbase aggregate structural layer coefficient from AASHTO 1993 pavement design guide. Layer coefficient corresponds to a layer thickness in units of inches.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Design value of subbase aggregate layer drainage coefficient from AASHTO 1993 pavement design guide.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Specify the design subgrade CBR used in the design of the unreinforced pavement. If a design resilient modulus for the subgrade is used (M_R), convert this to a CBR value by use of the formula: CBR=M_R/1500, where M_R is in units of psi.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Specify the maximum value of secant modulus determined at 2 % axial strain for the machine or cross-machine direction as determined from wide-width tension tests (ASTM D 4595). Modulus is computed from the equation: 
G_SM-2%=(Strength at 2 % axial strain)/(0.02).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Specify the ratio of minimum to maximum secant modulus determined at 2 % axial strain. G_MR should be less than or equal to 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Specify the reduction factor for interface shear. The factor should be set to 1 for optimal interface shear resistance conditions. A value of 0.765 was used for a woven geotextile.</t>
        </r>
      </text>
    </comment>
    <comment ref="B18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Click the appropriate reduction factors that should be applied for the geosynthetic type specified for use. Individual reduction factors are applied to both TBR_B and TBR_S. </t>
        </r>
      </text>
    </comment>
    <comment ref="B2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 desired TBR may be specified for reinforcement effects for the subgrade, base or total system. Desired TBR values for each effect should lie between 1 and the values for TBR_BCR=0 given in the OUTPUT table.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 desired BCR may be specified for reinforcement effects for the subgrade, base or total system. Desired BCR values for each effect should lie between 0 and the values for BCR_TBR=1 given in the OUTPUT table.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Values of Traffic Benefit Ratio for no base course thickness reduction are provided for reinforcement effects in the subgrade, base and total system.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Values of Base Course reduction Ratio for no increase in pavement life are provided for reinforcement effects in the subgrade, base and total system.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Values of desired TBR correspond to those listed by the user in the INPUT table.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2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Values of remaining BCR for each reinforcement effect are based on the desired TBR specified.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Values of desired BCR correspond to those listed by the user in the INPUT table.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Values of remaining TBR for each reinforcement effect are based on the desired BCR specified.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Ratio of reinforced to unreinforced base aggregate resilient modulus for the purpose of computing asphalt concrete fatigue cracking criteria.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Perkins</author>
  </authors>
  <commentList>
    <comment ref="F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Rigid Geogrid Value=1.0
Flexible Geogrid or Geotextile Value=0.83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Rigid Geogrid Value=1.0
Flexible Geogrid or Geotextile Value=0.96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Rigid Geogrid Value=1.0
Flexible Geogrid or Geotextile Value=0.92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Rigid Geogrid Value=1.0
Flexible Geogrid or Geotextile Value=0.99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Geogrid Value=1.0
Geotextile Value=0.76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<sst xmlns="http://schemas.openxmlformats.org/spreadsheetml/2006/main" count="251" uniqueCount="93">
  <si>
    <t>AC</t>
  </si>
  <si>
    <t>Thickness</t>
  </si>
  <si>
    <t xml:space="preserve">Base </t>
  </si>
  <si>
    <t>SN</t>
  </si>
  <si>
    <t>m1</t>
  </si>
  <si>
    <t>y1</t>
  </si>
  <si>
    <t>y2</t>
  </si>
  <si>
    <t>CBR</t>
  </si>
  <si>
    <t>Modulus</t>
  </si>
  <si>
    <t>m2</t>
  </si>
  <si>
    <t>yo_1</t>
  </si>
  <si>
    <t>yo_2</t>
  </si>
  <si>
    <t>SN at TBR=1</t>
  </si>
  <si>
    <t>SN&lt;3.3</t>
  </si>
  <si>
    <t>SN&gt;3.3</t>
  </si>
  <si>
    <t>used</t>
  </si>
  <si>
    <t>Anisotropy</t>
  </si>
  <si>
    <t>Ratio</t>
  </si>
  <si>
    <t>RF_Contact</t>
  </si>
  <si>
    <t>TBR_S</t>
  </si>
  <si>
    <t>TBR_S_M</t>
  </si>
  <si>
    <t>TBR_S_AR</t>
  </si>
  <si>
    <t>TBR__S_Contact</t>
  </si>
  <si>
    <t>TBR_B</t>
  </si>
  <si>
    <t>TBR_B_M</t>
  </si>
  <si>
    <t>TBR_B_AR</t>
  </si>
  <si>
    <t>TBR__B_Contact</t>
  </si>
  <si>
    <t>TBR_T</t>
  </si>
  <si>
    <t>Reinforced</t>
  </si>
  <si>
    <t>Reliability</t>
  </si>
  <si>
    <t xml:space="preserve">Unreinforced </t>
  </si>
  <si>
    <t>AC Thickness (mm)</t>
  </si>
  <si>
    <t>AC Structural Layer Coefficient</t>
  </si>
  <si>
    <t>Base Thickness (mm)</t>
  </si>
  <si>
    <t>Base Structural Layer Coefficient</t>
  </si>
  <si>
    <t>Base Layer Drainage Coefficient</t>
  </si>
  <si>
    <t>Structural Number</t>
  </si>
  <si>
    <t>Standard Normal Deviate (Zr)</t>
  </si>
  <si>
    <t>Overall Standard Deviation (So)</t>
  </si>
  <si>
    <t>Subgrade CBR</t>
  </si>
  <si>
    <t>Subgrade Resilient Modulus (psi)</t>
  </si>
  <si>
    <t>TBR for BCR=0</t>
  </si>
  <si>
    <t>ESAL's</t>
  </si>
  <si>
    <t>BCR</t>
  </si>
  <si>
    <t>Design Serviceability Loss (Delta psi)</t>
  </si>
  <si>
    <t>Desired BCR</t>
  </si>
  <si>
    <t>TBR</t>
  </si>
  <si>
    <t>Desired TBR</t>
  </si>
  <si>
    <t>PAVEMENT SECTION PARAMETERS</t>
  </si>
  <si>
    <t>GEOSYNTHETIC PROPERTIES</t>
  </si>
  <si>
    <t>INPUT</t>
  </si>
  <si>
    <t>OUTPUT</t>
  </si>
  <si>
    <t>Remaining BCR</t>
  </si>
  <si>
    <t>Remaining TBR</t>
  </si>
  <si>
    <t>Subgrade</t>
  </si>
  <si>
    <t>Base</t>
  </si>
  <si>
    <t>Total</t>
  </si>
  <si>
    <r>
      <t>TBR</t>
    </r>
    <r>
      <rPr>
        <vertAlign val="subscript"/>
        <sz val="11"/>
        <rFont val="Arial"/>
        <family val="2"/>
      </rPr>
      <t>BCR=0</t>
    </r>
  </si>
  <si>
    <r>
      <t>BCR</t>
    </r>
    <r>
      <rPr>
        <vertAlign val="subscript"/>
        <sz val="11"/>
        <rFont val="Arial"/>
        <family val="2"/>
      </rPr>
      <t>TBR=1</t>
    </r>
  </si>
  <si>
    <t>DESIRED REINFORCEMENT BENEFIT</t>
  </si>
  <si>
    <r>
      <t xml:space="preserve">Geosynthetic Modulus Ratio, </t>
    </r>
    <r>
      <rPr>
        <i/>
        <sz val="11"/>
        <rFont val="Arial"/>
        <family val="2"/>
      </rPr>
      <t>G</t>
    </r>
    <r>
      <rPr>
        <i/>
        <vertAlign val="subscript"/>
        <sz val="11"/>
        <rFont val="Arial"/>
        <family val="2"/>
      </rPr>
      <t>MR</t>
    </r>
  </si>
  <si>
    <r>
      <t xml:space="preserve">AC Thickness, </t>
    </r>
    <r>
      <rPr>
        <i/>
        <sz val="11"/>
        <rFont val="Arial"/>
        <family val="2"/>
      </rPr>
      <t>D</t>
    </r>
    <r>
      <rPr>
        <i/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(mm)</t>
    </r>
  </si>
  <si>
    <r>
      <t xml:space="preserve">Base Thickness, </t>
    </r>
    <r>
      <rPr>
        <i/>
        <sz val="11"/>
        <rFont val="Arial"/>
        <family val="2"/>
      </rPr>
      <t>D</t>
    </r>
    <r>
      <rPr>
        <i/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(mm)</t>
    </r>
  </si>
  <si>
    <t>RF_S_Nu</t>
  </si>
  <si>
    <t>RF_B_Nu</t>
  </si>
  <si>
    <t>RF_S_G</t>
  </si>
  <si>
    <t>RF_B_G</t>
  </si>
  <si>
    <t>TBR_S_Nu</t>
  </si>
  <si>
    <t>TBR_S_G</t>
  </si>
  <si>
    <t>TBR_B_Nu</t>
  </si>
  <si>
    <t>TBR_B_G</t>
  </si>
  <si>
    <t>TBR__S</t>
  </si>
  <si>
    <t>Reduction Factor for Interface Shear</t>
  </si>
  <si>
    <r>
      <t xml:space="preserve">Geosynthetic Modulus, </t>
    </r>
    <r>
      <rPr>
        <i/>
        <sz val="11"/>
        <rFont val="Arial"/>
        <family val="2"/>
      </rPr>
      <t>G</t>
    </r>
    <r>
      <rPr>
        <i/>
        <vertAlign val="subscript"/>
        <sz val="11"/>
        <rFont val="Arial"/>
        <family val="2"/>
      </rPr>
      <t>SM-2%</t>
    </r>
    <r>
      <rPr>
        <sz val="11"/>
        <rFont val="Arial"/>
        <family val="2"/>
      </rPr>
      <t xml:space="preserve"> (kN/m)</t>
    </r>
  </si>
  <si>
    <t>BCR_S for TBR=1</t>
  </si>
  <si>
    <t>BCR_B for TBR=1</t>
  </si>
  <si>
    <t>BCR_T for TBR=1</t>
  </si>
  <si>
    <t>BCR/TBR_S Comb. for known BCR</t>
  </si>
  <si>
    <t>BCR/TBR_S Comb. for known TBR</t>
  </si>
  <si>
    <t>BCR/TBR_B Comb. for known BCR</t>
  </si>
  <si>
    <t>BCR/TBR_B Comb. for known TBR</t>
  </si>
  <si>
    <t>BCR/TBR_T Comb. for known BCR</t>
  </si>
  <si>
    <t>BCR/TBR_T Comb. for known TBR</t>
  </si>
  <si>
    <t>base layer</t>
  </si>
  <si>
    <t>resilient modulus</t>
  </si>
  <si>
    <t>Ratio of</t>
  </si>
  <si>
    <r>
      <t xml:space="preserve">Subbase Thickness, </t>
    </r>
    <r>
      <rPr>
        <i/>
        <sz val="11"/>
        <rFont val="Arial"/>
        <family val="2"/>
      </rPr>
      <t>D</t>
    </r>
    <r>
      <rPr>
        <i/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(mm)</t>
    </r>
  </si>
  <si>
    <r>
      <t>M</t>
    </r>
    <r>
      <rPr>
        <vertAlign val="subscript"/>
        <sz val="11"/>
        <rFont val="Arial"/>
        <family val="2"/>
      </rPr>
      <t>R-R/U</t>
    </r>
    <r>
      <rPr>
        <sz val="11"/>
        <rFont val="Arial"/>
        <family val="2"/>
      </rPr>
      <t xml:space="preserve"> </t>
    </r>
  </si>
  <si>
    <r>
      <t xml:space="preserve">Base Layer Drainage Coefficient, </t>
    </r>
    <r>
      <rPr>
        <i/>
        <sz val="11"/>
        <rFont val="Arial"/>
        <family val="2"/>
      </rPr>
      <t>m</t>
    </r>
    <r>
      <rPr>
        <i/>
        <vertAlign val="subscript"/>
        <sz val="11"/>
        <rFont val="Arial"/>
        <family val="2"/>
      </rPr>
      <t>2</t>
    </r>
  </si>
  <si>
    <r>
      <t xml:space="preserve">Subbase Layer Drainage Coefficient, </t>
    </r>
    <r>
      <rPr>
        <i/>
        <sz val="11"/>
        <rFont val="Arial"/>
        <family val="2"/>
      </rPr>
      <t>m</t>
    </r>
    <r>
      <rPr>
        <i/>
        <vertAlign val="subscript"/>
        <sz val="11"/>
        <rFont val="Arial"/>
        <family val="2"/>
      </rPr>
      <t>3</t>
    </r>
  </si>
  <si>
    <r>
      <t xml:space="preserve">AC Structural Layer Coefficient, </t>
    </r>
    <r>
      <rPr>
        <i/>
        <sz val="11"/>
        <rFont val="Arial"/>
        <family val="2"/>
      </rPr>
      <t>a</t>
    </r>
    <r>
      <rPr>
        <i/>
        <vertAlign val="subscript"/>
        <sz val="11"/>
        <rFont val="Arial"/>
        <family val="2"/>
      </rPr>
      <t>1</t>
    </r>
  </si>
  <si>
    <r>
      <t xml:space="preserve">Base Strucural Layer Coefficient, </t>
    </r>
    <r>
      <rPr>
        <i/>
        <sz val="11"/>
        <rFont val="Arial"/>
        <family val="2"/>
      </rPr>
      <t>a</t>
    </r>
    <r>
      <rPr>
        <i/>
        <vertAlign val="subscript"/>
        <sz val="11"/>
        <rFont val="Arial"/>
        <family val="2"/>
      </rPr>
      <t>2</t>
    </r>
  </si>
  <si>
    <r>
      <t xml:space="preserve">Subbase Structural Layer Coefficient, </t>
    </r>
    <r>
      <rPr>
        <i/>
        <sz val="11"/>
        <rFont val="Arial"/>
        <family val="2"/>
      </rPr>
      <t>a</t>
    </r>
    <r>
      <rPr>
        <i/>
        <vertAlign val="sub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</si>
</sst>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0" xfId="0" applyProtection="1"/>
    <xf numFmtId="0" fontId="0" fillId="0" borderId="6" xfId="0" applyBorder="1" applyProtection="1"/>
    <xf numFmtId="0" fontId="0" fillId="0" borderId="1" xfId="0" applyBorder="1" applyProtection="1"/>
    <xf numFmtId="2" fontId="0" fillId="0" borderId="1" xfId="0" applyNumberFormat="1" applyBorder="1" applyProtection="1"/>
    <xf numFmtId="2" fontId="0" fillId="0" borderId="6" xfId="0" applyNumberFormat="1" applyBorder="1" applyProtection="1"/>
    <xf numFmtId="0" fontId="0" fillId="0" borderId="10" xfId="0" applyFill="1" applyBorder="1" applyProtection="1"/>
    <xf numFmtId="0" fontId="0" fillId="0" borderId="8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" fontId="0" fillId="0" borderId="0" xfId="0" applyNumberFormat="1" applyBorder="1" applyProtection="1"/>
    <xf numFmtId="2" fontId="0" fillId="0" borderId="0" xfId="0" applyNumberFormat="1" applyBorder="1" applyProtection="1"/>
    <xf numFmtId="0" fontId="0" fillId="0" borderId="0" xfId="0" applyFill="1" applyBorder="1" applyProtection="1"/>
    <xf numFmtId="164" fontId="0" fillId="0" borderId="0" xfId="0" applyNumberFormat="1" applyBorder="1" applyProtection="1"/>
    <xf numFmtId="0" fontId="0" fillId="2" borderId="0" xfId="0" applyFill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11" fillId="2" borderId="0" xfId="0" applyFont="1" applyFill="1" applyProtection="1"/>
    <xf numFmtId="0" fontId="4" fillId="3" borderId="16" xfId="0" applyFont="1" applyFill="1" applyBorder="1" applyProtection="1"/>
    <xf numFmtId="0" fontId="8" fillId="2" borderId="0" xfId="0" applyFont="1" applyFill="1" applyProtection="1"/>
    <xf numFmtId="0" fontId="4" fillId="2" borderId="17" xfId="0" applyFont="1" applyFill="1" applyBorder="1" applyProtection="1"/>
    <xf numFmtId="0" fontId="4" fillId="2" borderId="18" xfId="0" applyFont="1" applyFill="1" applyBorder="1" applyProtection="1"/>
    <xf numFmtId="2" fontId="4" fillId="2" borderId="0" xfId="0" applyNumberFormat="1" applyFont="1" applyFill="1" applyProtection="1"/>
    <xf numFmtId="1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9" xfId="0" applyNumberFormat="1" applyFont="1" applyFill="1" applyBorder="1" applyAlignment="1" applyProtection="1">
      <alignment horizontal="center"/>
      <protection locked="0"/>
    </xf>
    <xf numFmtId="1" fontId="4" fillId="0" borderId="30" xfId="0" applyNumberFormat="1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165" fontId="4" fillId="0" borderId="30" xfId="0" applyNumberFormat="1" applyFont="1" applyFill="1" applyBorder="1" applyAlignment="1" applyProtection="1">
      <alignment horizontal="center"/>
      <protection locked="0"/>
    </xf>
    <xf numFmtId="164" fontId="4" fillId="0" borderId="31" xfId="0" applyNumberFormat="1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 horizontal="center"/>
      <protection locked="0"/>
    </xf>
    <xf numFmtId="2" fontId="4" fillId="0" borderId="33" xfId="0" applyNumberFormat="1" applyFont="1" applyFill="1" applyBorder="1" applyAlignment="1" applyProtection="1">
      <alignment horizontal="center"/>
      <protection locked="0"/>
    </xf>
    <xf numFmtId="2" fontId="4" fillId="4" borderId="30" xfId="0" applyNumberFormat="1" applyFont="1" applyFill="1" applyBorder="1" applyAlignment="1" applyProtection="1">
      <alignment horizontal="center"/>
      <protection locked="0"/>
    </xf>
    <xf numFmtId="165" fontId="4" fillId="0" borderId="34" xfId="0" applyNumberFormat="1" applyFont="1" applyFill="1" applyBorder="1" applyAlignment="1" applyProtection="1">
      <alignment horizontal="center"/>
      <protection locked="0"/>
    </xf>
    <xf numFmtId="165" fontId="4" fillId="4" borderId="32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 applyProtection="1">
      <alignment horizontal="center"/>
      <protection locked="0"/>
    </xf>
    <xf numFmtId="2" fontId="4" fillId="4" borderId="29" xfId="0" applyNumberFormat="1" applyFont="1" applyFill="1" applyBorder="1" applyAlignment="1" applyProtection="1">
      <alignment horizontal="center"/>
      <protection locked="0"/>
    </xf>
    <xf numFmtId="165" fontId="4" fillId="0" borderId="37" xfId="0" applyNumberFormat="1" applyFont="1" applyFill="1" applyBorder="1" applyAlignment="1" applyProtection="1">
      <alignment horizontal="center"/>
      <protection locked="0"/>
    </xf>
    <xf numFmtId="165" fontId="4" fillId="0" borderId="38" xfId="0" applyNumberFormat="1" applyFont="1" applyFill="1" applyBorder="1" applyAlignment="1" applyProtection="1">
      <alignment horizontal="center"/>
      <protection locked="0"/>
    </xf>
    <xf numFmtId="165" fontId="4" fillId="4" borderId="39" xfId="0" applyNumberFormat="1" applyFont="1" applyFill="1" applyBorder="1" applyAlignment="1" applyProtection="1">
      <alignment horizontal="center"/>
      <protection locked="0"/>
    </xf>
    <xf numFmtId="165" fontId="4" fillId="0" borderId="35" xfId="0" applyNumberFormat="1" applyFont="1" applyFill="1" applyBorder="1" applyAlignment="1" applyProtection="1">
      <alignment horizontal="center"/>
      <protection locked="0"/>
    </xf>
    <xf numFmtId="165" fontId="4" fillId="0" borderId="36" xfId="0" applyNumberFormat="1" applyFont="1" applyFill="1" applyBorder="1" applyAlignment="1" applyProtection="1">
      <alignment horizontal="center"/>
      <protection locked="0"/>
    </xf>
    <xf numFmtId="165" fontId="4" fillId="4" borderId="29" xfId="0" applyNumberFormat="1" applyFon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 applyProtection="1">
      <alignment horizontal="center"/>
      <protection locked="0"/>
    </xf>
    <xf numFmtId="2" fontId="4" fillId="0" borderId="38" xfId="0" applyNumberFormat="1" applyFont="1" applyFill="1" applyBorder="1" applyAlignment="1" applyProtection="1">
      <alignment horizontal="center"/>
      <protection locked="0"/>
    </xf>
    <xf numFmtId="2" fontId="4" fillId="4" borderId="39" xfId="0" applyNumberFormat="1" applyFon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Alignment="1" applyProtection="1">
      <alignment horizontal="center"/>
      <protection locked="0"/>
    </xf>
    <xf numFmtId="2" fontId="4" fillId="4" borderId="40" xfId="0" applyNumberFormat="1" applyFont="1" applyFill="1" applyBorder="1" applyAlignment="1" applyProtection="1">
      <alignment horizontal="center"/>
      <protection locked="0"/>
    </xf>
    <xf numFmtId="2" fontId="4" fillId="3" borderId="4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7" fillId="5" borderId="45" xfId="0" applyFont="1" applyFill="1" applyBorder="1" applyAlignment="1" applyProtection="1">
      <alignment horizontal="center"/>
    </xf>
    <xf numFmtId="0" fontId="7" fillId="5" borderId="46" xfId="0" applyFont="1" applyFill="1" applyBorder="1" applyAlignment="1" applyProtection="1">
      <alignment horizontal="center"/>
    </xf>
    <xf numFmtId="0" fontId="6" fillId="0" borderId="47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4" fillId="0" borderId="28" xfId="0" applyFont="1" applyFill="1" applyBorder="1" applyProtection="1"/>
    <xf numFmtId="0" fontId="4" fillId="0" borderId="14" xfId="0" applyFont="1" applyFill="1" applyBorder="1" applyProtection="1"/>
    <xf numFmtId="0" fontId="4" fillId="3" borderId="15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4" fillId="3" borderId="19" xfId="0" applyFont="1" applyFill="1" applyBorder="1" applyProtection="1"/>
    <xf numFmtId="0" fontId="4" fillId="0" borderId="20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0" fontId="7" fillId="5" borderId="42" xfId="0" applyFont="1" applyFill="1" applyBorder="1" applyAlignment="1" applyProtection="1">
      <alignment horizontal="center"/>
    </xf>
    <xf numFmtId="0" fontId="7" fillId="5" borderId="43" xfId="0" applyFont="1" applyFill="1" applyBorder="1" applyAlignment="1" applyProtection="1">
      <alignment horizontal="center"/>
    </xf>
    <xf numFmtId="0" fontId="7" fillId="5" borderId="44" xfId="0" applyFont="1" applyFill="1" applyBorder="1" applyAlignment="1" applyProtection="1">
      <alignment horizontal="center"/>
    </xf>
    <xf numFmtId="0" fontId="4" fillId="0" borderId="21" xfId="0" applyFont="1" applyFill="1" applyBorder="1" applyProtection="1"/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Protection="1"/>
    <xf numFmtId="0" fontId="4" fillId="0" borderId="26" xfId="0" applyFont="1" applyFill="1" applyBorder="1" applyProtection="1"/>
    <xf numFmtId="0" fontId="4" fillId="3" borderId="2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57150</xdr:rowOff>
    </xdr:from>
    <xdr:to>
      <xdr:col>11</xdr:col>
      <xdr:colOff>400050</xdr:colOff>
      <xdr:row>33</xdr:row>
      <xdr:rowOff>38100</xdr:rowOff>
    </xdr:to>
    <xdr:sp macro="" textlink="">
      <xdr:nvSpPr>
        <xdr:cNvPr id="7175" name="Text Box 7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4991100" y="57150"/>
          <a:ext cx="3962400" cy="7058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Accompanying software program for the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Mechanistic-Empirical Modeling and Design Development of Geosynthetic Reinforced Flexible Pavements: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 Report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FHWA/MT-01-002/99160-1A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Report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for the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MONTANA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TRANSPORTATION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RESEARCH, DEVELOPMENT AND TECHNOLOGY TRANSFER PROGRAM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cooperation with the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U.S. DEPARTMENT OF TRANSPORTATION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FEDERAL HIGHWAY ADMINISTRATION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and the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Idaho, Kansas, Minnesota, New York, Texas, Wisconsin and Wyoming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Departments of Transportation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and the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Western Transportation Institute at Montana State University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October 1, 2001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Steven W. Perkins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Associate Professor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Civil Engineering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Western Transportation Institute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Montana State University – Bozeman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Bozeman, Montana 59717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Telephone: 406-994-6119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 406-994-6105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E-Mail: stevep@montana.edu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The equations and calculations presented in this software program are based on the research described in the above-referenced report, and are made available as a public record.  No warranty, express or implied, is given by the preparer or any of the above-named agencies for use of this software program by third parties.  Calculations made using this program should be confirmed by a qualified engineer. </a:t>
          </a:r>
        </a:p>
        <a:p>
          <a:pPr algn="ctr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program was updated to an .xlsx format in May 2021 and renamed as version 2.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17</xdr:row>
          <xdr:rowOff>47625</xdr:rowOff>
        </xdr:from>
        <xdr:to>
          <xdr:col>1</xdr:col>
          <xdr:colOff>2600325</xdr:colOff>
          <xdr:row>19</xdr:row>
          <xdr:rowOff>9525</xdr:rowOff>
        </xdr:to>
        <xdr:sp macro="" textlink="">
          <xdr:nvSpPr>
            <xdr:cNvPr id="7191" name="CheckBox1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18</xdr:row>
          <xdr:rowOff>161925</xdr:rowOff>
        </xdr:from>
        <xdr:to>
          <xdr:col>1</xdr:col>
          <xdr:colOff>2590800</xdr:colOff>
          <xdr:row>20</xdr:row>
          <xdr:rowOff>133350</xdr:rowOff>
        </xdr:to>
        <xdr:sp macro="" textlink="">
          <xdr:nvSpPr>
            <xdr:cNvPr id="7193" name="CheckBox2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42"/>
  <sheetViews>
    <sheetView tabSelected="1" workbookViewId="0">
      <selection activeCell="C29" sqref="C29"/>
    </sheetView>
  </sheetViews>
  <sheetFormatPr defaultRowHeight="14.25" x14ac:dyDescent="0.2"/>
  <cols>
    <col min="1" max="1" width="3.28515625" style="36" customWidth="1"/>
    <col min="2" max="2" width="39.28515625" style="37" customWidth="1"/>
    <col min="3" max="3" width="10.7109375" style="37" customWidth="1"/>
    <col min="4" max="6" width="9.140625" style="37"/>
    <col min="7" max="7" width="11" style="37" bestFit="1" customWidth="1"/>
    <col min="8" max="29" width="9.140625" style="37"/>
    <col min="30" max="54" width="9.140625" style="36"/>
    <col min="55" max="16384" width="9.140625" style="18"/>
  </cols>
  <sheetData>
    <row r="1" spans="1:54" ht="15" thickBot="1" x14ac:dyDescent="0.25"/>
    <row r="2" spans="1:54" s="17" customFormat="1" ht="17.25" thickTop="1" thickBot="1" x14ac:dyDescent="0.3">
      <c r="A2" s="38"/>
      <c r="B2" s="72" t="s">
        <v>50</v>
      </c>
      <c r="C2" s="73"/>
      <c r="D2" s="37"/>
      <c r="E2" s="37"/>
      <c r="F2" s="37"/>
      <c r="G2" s="39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s="17" customFormat="1" ht="16.5" thickBot="1" x14ac:dyDescent="0.3">
      <c r="A3" s="38"/>
      <c r="B3" s="74" t="s">
        <v>48</v>
      </c>
      <c r="C3" s="75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s="17" customFormat="1" ht="18.75" x14ac:dyDescent="0.35">
      <c r="A4" s="38"/>
      <c r="B4" s="76" t="s">
        <v>61</v>
      </c>
      <c r="C4" s="45">
        <v>75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s="17" customFormat="1" ht="18.75" x14ac:dyDescent="0.35">
      <c r="A5" s="38"/>
      <c r="B5" s="77" t="s">
        <v>90</v>
      </c>
      <c r="C5" s="46">
        <v>0.4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54" s="17" customFormat="1" ht="18.75" x14ac:dyDescent="0.35">
      <c r="A6" s="38"/>
      <c r="B6" s="78" t="s">
        <v>62</v>
      </c>
      <c r="C6" s="47">
        <v>300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s="17" customFormat="1" ht="18.75" x14ac:dyDescent="0.35">
      <c r="A7" s="38"/>
      <c r="B7" s="77" t="s">
        <v>91</v>
      </c>
      <c r="C7" s="48">
        <v>0.14000000000000001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54" s="17" customFormat="1" ht="18.75" x14ac:dyDescent="0.35">
      <c r="A8" s="38"/>
      <c r="B8" s="77" t="s">
        <v>88</v>
      </c>
      <c r="C8" s="49">
        <v>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54" s="17" customFormat="1" ht="18.75" x14ac:dyDescent="0.35">
      <c r="A9" s="38"/>
      <c r="B9" s="78" t="s">
        <v>86</v>
      </c>
      <c r="C9" s="47"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</row>
    <row r="10" spans="1:54" s="17" customFormat="1" ht="18.75" x14ac:dyDescent="0.35">
      <c r="A10" s="38"/>
      <c r="B10" s="77" t="s">
        <v>92</v>
      </c>
      <c r="C10" s="48">
        <v>0.1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:54" s="17" customFormat="1" ht="18.75" x14ac:dyDescent="0.35">
      <c r="A11" s="38"/>
      <c r="B11" s="77" t="s">
        <v>89</v>
      </c>
      <c r="C11" s="49">
        <v>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</row>
    <row r="12" spans="1:54" s="17" customFormat="1" ht="15" x14ac:dyDescent="0.2">
      <c r="A12" s="38"/>
      <c r="B12" s="78" t="s">
        <v>39</v>
      </c>
      <c r="C12" s="49">
        <v>1.5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4" s="17" customFormat="1" ht="15.75" thickBot="1" x14ac:dyDescent="0.25">
      <c r="A13" s="38"/>
      <c r="B13" s="79"/>
      <c r="C13" s="40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4" s="17" customFormat="1" ht="16.5" thickBot="1" x14ac:dyDescent="0.3">
      <c r="A14" s="38"/>
      <c r="B14" s="74" t="s">
        <v>49</v>
      </c>
      <c r="C14" s="7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s="17" customFormat="1" ht="18.75" x14ac:dyDescent="0.35">
      <c r="A15" s="38"/>
      <c r="B15" s="76" t="s">
        <v>73</v>
      </c>
      <c r="C15" s="45">
        <v>425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</row>
    <row r="16" spans="1:54" s="17" customFormat="1" ht="18.75" x14ac:dyDescent="0.35">
      <c r="A16" s="38"/>
      <c r="B16" s="78" t="s">
        <v>60</v>
      </c>
      <c r="C16" s="50">
        <v>0.59499999999999997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s="17" customFormat="1" ht="15.75" thickBot="1" x14ac:dyDescent="0.25">
      <c r="A17" s="38"/>
      <c r="B17" s="78" t="s">
        <v>72</v>
      </c>
      <c r="C17" s="51">
        <v>1</v>
      </c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s="17" customFormat="1" ht="15.75" thickTop="1" x14ac:dyDescent="0.2">
      <c r="A18" s="38"/>
      <c r="B18" s="71"/>
      <c r="C18" s="41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s="17" customFormat="1" ht="15" x14ac:dyDescent="0.2">
      <c r="A19" s="38"/>
      <c r="B19" s="71"/>
      <c r="C19" s="41"/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s="17" customFormat="1" ht="15" x14ac:dyDescent="0.2">
      <c r="A20" s="38"/>
      <c r="B20" s="7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 s="17" customFormat="1" ht="15.75" thickBot="1" x14ac:dyDescent="0.25">
      <c r="A21" s="38"/>
      <c r="B21" s="71"/>
      <c r="C21" s="42"/>
      <c r="D21" s="43"/>
      <c r="E21" s="43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</row>
    <row r="22" spans="1:54" s="17" customFormat="1" ht="17.25" thickTop="1" thickBot="1" x14ac:dyDescent="0.3">
      <c r="A22" s="38"/>
      <c r="B22" s="74" t="s">
        <v>59</v>
      </c>
      <c r="C22" s="80"/>
      <c r="D22" s="80"/>
      <c r="E22" s="8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s="17" customFormat="1" ht="15" x14ac:dyDescent="0.2">
      <c r="A23" s="38"/>
      <c r="B23" s="82"/>
      <c r="C23" s="83" t="s">
        <v>54</v>
      </c>
      <c r="D23" s="83" t="s">
        <v>55</v>
      </c>
      <c r="E23" s="84" t="s">
        <v>56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s="17" customFormat="1" ht="15" x14ac:dyDescent="0.2">
      <c r="A24" s="38"/>
      <c r="B24" s="78" t="s">
        <v>47</v>
      </c>
      <c r="C24" s="52">
        <v>1</v>
      </c>
      <c r="D24" s="52">
        <v>1</v>
      </c>
      <c r="E24" s="53">
        <v>2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s="17" customFormat="1" ht="15.75" thickBot="1" x14ac:dyDescent="0.25">
      <c r="A25" s="38"/>
      <c r="B25" s="85" t="s">
        <v>45</v>
      </c>
      <c r="C25" s="54">
        <v>0</v>
      </c>
      <c r="D25" s="54">
        <v>0</v>
      </c>
      <c r="E25" s="55">
        <v>23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s="17" customFormat="1" ht="16.5" thickTop="1" thickBot="1" x14ac:dyDescent="0.2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s="17" customFormat="1" ht="17.25" thickTop="1" thickBot="1" x14ac:dyDescent="0.3">
      <c r="A27" s="38"/>
      <c r="B27" s="86" t="s">
        <v>51</v>
      </c>
      <c r="C27" s="87"/>
      <c r="D27" s="87"/>
      <c r="E27" s="8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</row>
    <row r="28" spans="1:54" s="17" customFormat="1" ht="15.75" thickBot="1" x14ac:dyDescent="0.25">
      <c r="A28" s="38"/>
      <c r="B28" s="89"/>
      <c r="C28" s="90" t="s">
        <v>54</v>
      </c>
      <c r="D28" s="91" t="s">
        <v>55</v>
      </c>
      <c r="E28" s="92" t="s">
        <v>56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</row>
    <row r="29" spans="1:54" s="17" customFormat="1" ht="18.75" x14ac:dyDescent="0.35">
      <c r="A29" s="38"/>
      <c r="B29" s="93" t="s">
        <v>57</v>
      </c>
      <c r="C29" s="56">
        <v>2.5385916219812885</v>
      </c>
      <c r="D29" s="57">
        <v>1.7110729637803475</v>
      </c>
      <c r="E29" s="58">
        <v>4.3437154904514825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</row>
    <row r="30" spans="1:54" s="17" customFormat="1" ht="19.5" thickBot="1" x14ac:dyDescent="0.4">
      <c r="A30" s="38"/>
      <c r="B30" s="94" t="s">
        <v>58</v>
      </c>
      <c r="C30" s="59">
        <v>21.519326052853891</v>
      </c>
      <c r="D30" s="60">
        <v>13.315556142649163</v>
      </c>
      <c r="E30" s="61">
        <v>30.988588470210015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</row>
    <row r="31" spans="1:54" s="17" customFormat="1" ht="15" x14ac:dyDescent="0.2">
      <c r="A31" s="38"/>
      <c r="B31" s="93" t="s">
        <v>47</v>
      </c>
      <c r="C31" s="56">
        <v>1</v>
      </c>
      <c r="D31" s="57">
        <v>1</v>
      </c>
      <c r="E31" s="58"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s="17" customFormat="1" ht="15.75" thickBot="1" x14ac:dyDescent="0.25">
      <c r="A32" s="38"/>
      <c r="B32" s="94" t="s">
        <v>52</v>
      </c>
      <c r="C32" s="59">
        <v>21.51457984066754</v>
      </c>
      <c r="D32" s="60">
        <v>13.310313797711103</v>
      </c>
      <c r="E32" s="61">
        <v>17.149105727150573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1:54" s="17" customFormat="1" ht="15" x14ac:dyDescent="0.2">
      <c r="A33" s="38"/>
      <c r="B33" s="93" t="s">
        <v>45</v>
      </c>
      <c r="C33" s="62">
        <v>0</v>
      </c>
      <c r="D33" s="63">
        <v>0</v>
      </c>
      <c r="E33" s="64">
        <v>23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</row>
    <row r="34" spans="1:54" s="17" customFormat="1" ht="15.75" thickBot="1" x14ac:dyDescent="0.25">
      <c r="A34" s="38"/>
      <c r="B34" s="94" t="s">
        <v>53</v>
      </c>
      <c r="C34" s="65">
        <v>2.538808406856762</v>
      </c>
      <c r="D34" s="66">
        <v>1.7111893928042039</v>
      </c>
      <c r="E34" s="67">
        <v>1.5048112192033547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4" ht="19.5" thickBot="1" x14ac:dyDescent="0.4">
      <c r="B35" s="95" t="s">
        <v>87</v>
      </c>
      <c r="C35" s="68">
        <v>1.4261596313805867</v>
      </c>
      <c r="D35" s="69">
        <v>1.2200195795684665</v>
      </c>
      <c r="E35" s="70">
        <v>1.7884214888851091</v>
      </c>
    </row>
    <row r="36" spans="1:54" ht="15" thickTop="1" x14ac:dyDescent="0.2"/>
    <row r="39" spans="1:54" x14ac:dyDescent="0.2">
      <c r="C39" s="44"/>
      <c r="D39" s="44"/>
    </row>
    <row r="40" spans="1:54" x14ac:dyDescent="0.2">
      <c r="C40" s="44"/>
      <c r="D40" s="44"/>
    </row>
    <row r="41" spans="1:54" x14ac:dyDescent="0.2">
      <c r="C41" s="44"/>
      <c r="D41" s="44"/>
    </row>
    <row r="42" spans="1:54" x14ac:dyDescent="0.2">
      <c r="C42" s="44"/>
      <c r="D42" s="44"/>
    </row>
  </sheetData>
  <sheetProtection algorithmName="SHA-512" hashValue="aH+lWWsHg1H8sUuzHY9SBTA80a3066nW2G/enclW8N0ExZ4QvdvS89IndR0AenADIwF4kOjeaA9wnDKcW8914w==" saltValue="iCZ/UU91Xkx6ZO5TKUMqNg==" spinCount="100000" sheet="1" objects="1" scenarios="1" selectLockedCells="1"/>
  <mergeCells count="5">
    <mergeCell ref="B27:E27"/>
    <mergeCell ref="B2:C2"/>
    <mergeCell ref="B3:C3"/>
    <mergeCell ref="B14:C14"/>
    <mergeCell ref="B22:E22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91" r:id="rId4" name="CheckBox1">
          <controlPr defaultSize="0" autoLine="0" autoPict="0" linkedCell="TBR_BCR_0!A14" r:id="rId5">
            <anchor moveWithCells="1" sizeWithCells="1">
              <from>
                <xdr:col>1</xdr:col>
                <xdr:colOff>19050</xdr:colOff>
                <xdr:row>17</xdr:row>
                <xdr:rowOff>47625</xdr:rowOff>
              </from>
              <to>
                <xdr:col>1</xdr:col>
                <xdr:colOff>2600325</xdr:colOff>
                <xdr:row>19</xdr:row>
                <xdr:rowOff>9525</xdr:rowOff>
              </to>
            </anchor>
          </controlPr>
        </control>
      </mc:Choice>
      <mc:Fallback>
        <control shapeId="7191" r:id="rId4" name="CheckBox1"/>
      </mc:Fallback>
    </mc:AlternateContent>
    <mc:AlternateContent xmlns:mc="http://schemas.openxmlformats.org/markup-compatibility/2006">
      <mc:Choice Requires="x14">
        <control shapeId="7193" r:id="rId6" name="CheckBox2">
          <controlPr defaultSize="0" autoLine="0" autoPict="0" linkedCell="TBR_BCR_0!A15" r:id="rId7">
            <anchor moveWithCells="1" sizeWithCells="1">
              <from>
                <xdr:col>1</xdr:col>
                <xdr:colOff>19050</xdr:colOff>
                <xdr:row>18</xdr:row>
                <xdr:rowOff>161925</xdr:rowOff>
              </from>
              <to>
                <xdr:col>1</xdr:col>
                <xdr:colOff>2590800</xdr:colOff>
                <xdr:row>20</xdr:row>
                <xdr:rowOff>133350</xdr:rowOff>
              </to>
            </anchor>
          </controlPr>
        </control>
      </mc:Choice>
      <mc:Fallback>
        <control shapeId="7193" r:id="rId6" name="CheckBox2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19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81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+TBR_BCR_0!AJ4</f>
        <v>4.3437154904514825</v>
      </c>
      <c r="C5" s="33">
        <f>+B5</f>
        <v>4.3437154904514825</v>
      </c>
    </row>
    <row r="6" spans="1:3" x14ac:dyDescent="0.2">
      <c r="A6" s="13" t="s">
        <v>45</v>
      </c>
      <c r="B6" s="31"/>
      <c r="C6" s="31">
        <f>+MASTER!E25</f>
        <v>23</v>
      </c>
    </row>
    <row r="7" spans="1:3" x14ac:dyDescent="0.2">
      <c r="A7" s="12" t="s">
        <v>33</v>
      </c>
      <c r="B7" s="34">
        <f>+TBR_BCR_0!B4</f>
        <v>300</v>
      </c>
      <c r="C7" s="32">
        <f>+B7-C6/100*B7</f>
        <v>231</v>
      </c>
    </row>
    <row r="8" spans="1:3" x14ac:dyDescent="0.2">
      <c r="A8" s="13" t="s">
        <v>34</v>
      </c>
      <c r="B8" s="34">
        <v>0.14000000000000001</v>
      </c>
      <c r="C8" s="33">
        <v>0.20286500000013266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f>+C3/25.4*C4+C7/25.4*C8*C9</f>
        <v>3.0260557086626241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+MASTER!C12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10^(+C12*C13+9.36*LOG(C10+1)-0.2+(LOG(C14/(4.2-1.5)))/(0.4+1094/((C10+1)^5.19))+2.32*LOG(C16)-8.07)</f>
        <v>29184.259671556734</v>
      </c>
    </row>
    <row r="18" spans="1:3" x14ac:dyDescent="0.2">
      <c r="A18" s="12"/>
      <c r="B18" s="31"/>
      <c r="C18" s="31"/>
    </row>
    <row r="19" spans="1:3" x14ac:dyDescent="0.2">
      <c r="A19" s="16" t="s">
        <v>46</v>
      </c>
      <c r="B19" s="31"/>
      <c r="C19" s="33">
        <f>+C17/B17</f>
        <v>1.5048112192033547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19"/>
  <sheetViews>
    <sheetView workbookViewId="0">
      <selection activeCell="F21" sqref="F21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1" customWidth="1"/>
    <col min="13" max="14" width="11.140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82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+TBR_BCR_0!AJ4</f>
        <v>4.3437154904514825</v>
      </c>
      <c r="C5" s="33">
        <f>+B5</f>
        <v>4.3437154904514825</v>
      </c>
    </row>
    <row r="6" spans="1:3" x14ac:dyDescent="0.2">
      <c r="A6" s="13" t="s">
        <v>47</v>
      </c>
      <c r="B6" s="31"/>
      <c r="C6" s="33">
        <f>+MASTER!E24</f>
        <v>2</v>
      </c>
    </row>
    <row r="7" spans="1:3" x14ac:dyDescent="0.2">
      <c r="A7" s="12" t="s">
        <v>33</v>
      </c>
      <c r="B7" s="34">
        <f>+TBR_BCR_0!B4</f>
        <v>300</v>
      </c>
      <c r="C7" s="32">
        <f>+(C10-C3/25.4*C4)/(C8*C9)*25.4</f>
        <v>248.55268281854828</v>
      </c>
    </row>
    <row r="8" spans="1:3" x14ac:dyDescent="0.2">
      <c r="A8" s="13" t="s">
        <v>34</v>
      </c>
      <c r="B8" s="34">
        <v>0.14000000000000001</v>
      </c>
      <c r="C8" s="33">
        <v>0.20286500000013266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v>3.1662456692920387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+MASTER!C12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+B17*C6</f>
        <v>38787.934724472412</v>
      </c>
    </row>
    <row r="18" spans="1:3" x14ac:dyDescent="0.2">
      <c r="A18" s="12"/>
      <c r="B18" s="31"/>
      <c r="C18" s="31"/>
    </row>
    <row r="19" spans="1:3" x14ac:dyDescent="0.2">
      <c r="A19" s="16" t="s">
        <v>43</v>
      </c>
      <c r="B19" s="31"/>
      <c r="C19" s="33">
        <f>+(B7-C7)/B7*100</f>
        <v>17.149105727150573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15"/>
  <sheetViews>
    <sheetView workbookViewId="0">
      <selection activeCell="N17" sqref="N17"/>
    </sheetView>
  </sheetViews>
  <sheetFormatPr defaultRowHeight="12.75" x14ac:dyDescent="0.2"/>
  <cols>
    <col min="4" max="4" width="10.7109375" customWidth="1"/>
    <col min="5" max="5" width="10" customWidth="1"/>
    <col min="6" max="7" width="9.42578125" customWidth="1"/>
    <col min="8" max="8" width="9.28515625" customWidth="1"/>
    <col min="9" max="9" width="8.5703125" customWidth="1"/>
    <col min="10" max="10" width="10.7109375" customWidth="1"/>
    <col min="17" max="17" width="12.42578125" customWidth="1"/>
    <col min="23" max="23" width="9.5703125" customWidth="1"/>
    <col min="24" max="25" width="10.85546875" customWidth="1"/>
    <col min="26" max="26" width="9.7109375" customWidth="1"/>
    <col min="27" max="27" width="15.42578125" customWidth="1"/>
    <col min="30" max="30" width="9.85546875" customWidth="1"/>
    <col min="31" max="32" width="10.5703125" customWidth="1"/>
    <col min="33" max="33" width="9.5703125" customWidth="1"/>
    <col min="34" max="34" width="15.140625" customWidth="1"/>
    <col min="35" max="35" width="7.28515625" customWidth="1"/>
  </cols>
  <sheetData>
    <row r="1" spans="1:36" x14ac:dyDescent="0.2">
      <c r="A1" s="7" t="s">
        <v>0</v>
      </c>
      <c r="B1" s="5" t="s">
        <v>2</v>
      </c>
      <c r="C1" s="7" t="s">
        <v>7</v>
      </c>
      <c r="D1" s="5" t="s">
        <v>8</v>
      </c>
      <c r="E1" s="7" t="s">
        <v>16</v>
      </c>
      <c r="F1" s="5" t="s">
        <v>63</v>
      </c>
      <c r="G1" s="7" t="s">
        <v>64</v>
      </c>
      <c r="H1" s="5" t="s">
        <v>65</v>
      </c>
      <c r="I1" s="7" t="s">
        <v>66</v>
      </c>
      <c r="J1" s="5" t="s">
        <v>18</v>
      </c>
      <c r="K1" s="7" t="s">
        <v>3</v>
      </c>
      <c r="L1" s="5" t="s">
        <v>5</v>
      </c>
      <c r="M1" s="7" t="s">
        <v>5</v>
      </c>
      <c r="N1" s="5" t="s">
        <v>6</v>
      </c>
      <c r="O1" s="7" t="s">
        <v>4</v>
      </c>
      <c r="P1" s="5" t="s">
        <v>10</v>
      </c>
      <c r="Q1" s="7" t="s">
        <v>12</v>
      </c>
      <c r="R1" s="5" t="s">
        <v>9</v>
      </c>
      <c r="S1" s="7" t="s">
        <v>11</v>
      </c>
      <c r="T1" s="5" t="s">
        <v>19</v>
      </c>
      <c r="U1" s="7" t="s">
        <v>19</v>
      </c>
      <c r="V1" s="5" t="s">
        <v>19</v>
      </c>
      <c r="W1" s="7" t="s">
        <v>20</v>
      </c>
      <c r="X1" s="5" t="s">
        <v>21</v>
      </c>
      <c r="Y1" s="7" t="s">
        <v>67</v>
      </c>
      <c r="Z1" s="7" t="s">
        <v>68</v>
      </c>
      <c r="AA1" s="7" t="s">
        <v>22</v>
      </c>
      <c r="AB1" s="9" t="s">
        <v>71</v>
      </c>
      <c r="AC1" s="6" t="s">
        <v>23</v>
      </c>
      <c r="AD1" s="5" t="s">
        <v>24</v>
      </c>
      <c r="AE1" s="7" t="s">
        <v>25</v>
      </c>
      <c r="AF1" s="7" t="s">
        <v>69</v>
      </c>
      <c r="AG1" s="5" t="s">
        <v>70</v>
      </c>
      <c r="AH1" s="19" t="s">
        <v>26</v>
      </c>
      <c r="AI1" s="9" t="s">
        <v>23</v>
      </c>
      <c r="AJ1" s="6" t="s">
        <v>27</v>
      </c>
    </row>
    <row r="2" spans="1:36" ht="13.5" thickBot="1" x14ac:dyDescent="0.25">
      <c r="A2" s="8" t="s">
        <v>1</v>
      </c>
      <c r="B2" s="3" t="s">
        <v>1</v>
      </c>
      <c r="C2" s="8"/>
      <c r="D2" s="3"/>
      <c r="E2" s="8" t="s">
        <v>17</v>
      </c>
      <c r="F2" s="3">
        <v>0.83</v>
      </c>
      <c r="G2" s="8">
        <v>0.96</v>
      </c>
      <c r="H2" s="3">
        <v>0.92</v>
      </c>
      <c r="I2" s="8">
        <v>0.99</v>
      </c>
      <c r="J2" s="3">
        <v>0.76</v>
      </c>
      <c r="K2" s="8"/>
      <c r="L2" s="3"/>
      <c r="M2" s="8" t="s">
        <v>15</v>
      </c>
      <c r="N2" s="3"/>
      <c r="O2" s="8"/>
      <c r="P2" s="3"/>
      <c r="Q2" s="8"/>
      <c r="R2" s="3"/>
      <c r="S2" s="8"/>
      <c r="T2" s="3" t="s">
        <v>13</v>
      </c>
      <c r="U2" s="8" t="s">
        <v>14</v>
      </c>
      <c r="V2" s="3"/>
      <c r="W2" s="8"/>
      <c r="X2" s="3"/>
      <c r="Y2" s="8"/>
      <c r="Z2" s="8"/>
      <c r="AA2" s="8"/>
      <c r="AB2" s="10"/>
      <c r="AC2" s="4"/>
      <c r="AD2" s="3"/>
      <c r="AE2" s="8"/>
      <c r="AF2" s="8"/>
      <c r="AG2" s="3"/>
      <c r="AH2" s="20"/>
      <c r="AI2" s="10"/>
      <c r="AJ2" s="4"/>
    </row>
    <row r="3" spans="1:36" x14ac:dyDescent="0.2">
      <c r="A3" s="7"/>
      <c r="B3" s="5"/>
      <c r="C3" s="7"/>
      <c r="D3" s="5"/>
      <c r="E3" s="7"/>
      <c r="F3" s="5"/>
      <c r="G3" s="7"/>
      <c r="H3" s="5"/>
      <c r="I3" s="7"/>
      <c r="J3" s="5"/>
      <c r="K3" s="7"/>
      <c r="L3" s="5"/>
      <c r="M3" s="7"/>
      <c r="N3" s="5"/>
      <c r="O3" s="7"/>
      <c r="P3" s="5"/>
      <c r="Q3" s="7"/>
      <c r="R3" s="5"/>
      <c r="S3" s="7"/>
      <c r="T3" s="5"/>
      <c r="U3" s="7"/>
      <c r="V3" s="5"/>
      <c r="W3" s="7"/>
      <c r="X3" s="5"/>
      <c r="Y3" s="7"/>
      <c r="Z3" s="7"/>
      <c r="AA3" s="7"/>
      <c r="AB3" s="9"/>
      <c r="AC3" s="6"/>
      <c r="AD3" s="5"/>
      <c r="AE3" s="7"/>
      <c r="AF3" s="7"/>
      <c r="AG3" s="5"/>
      <c r="AH3" s="19"/>
      <c r="AI3" s="9"/>
      <c r="AJ3" s="6"/>
    </row>
    <row r="4" spans="1:36" s="21" customFormat="1" ht="13.5" thickBot="1" x14ac:dyDescent="0.25">
      <c r="A4" s="22">
        <f>+MASTER!C4*(MASTER!C5/0.4)</f>
        <v>75</v>
      </c>
      <c r="B4" s="23">
        <f>+MASTER!C6*(MASTER!C7/0.14)*(MASTER!C8/1)+MASTER!C9*(MASTER!C10/0.14)*(MASTER!C11/1)</f>
        <v>300</v>
      </c>
      <c r="C4" s="22">
        <f>+MASTER!C12</f>
        <v>1.5</v>
      </c>
      <c r="D4" s="23">
        <f>+MASTER!C15*4400</f>
        <v>1870000</v>
      </c>
      <c r="E4" s="22">
        <f>+MASTER!C16</f>
        <v>0.59499999999999997</v>
      </c>
      <c r="F4" s="24">
        <f>+IF(A14=TRUE,F2,1)</f>
        <v>1</v>
      </c>
      <c r="G4" s="25">
        <f>+IF(A14=TRUE,G2,1)</f>
        <v>1</v>
      </c>
      <c r="H4" s="24">
        <f>+IF(A15=TRUE,H2,1)</f>
        <v>1</v>
      </c>
      <c r="I4" s="25">
        <f>+IF(A15=TRUE,I2,1)</f>
        <v>1</v>
      </c>
      <c r="J4" s="25">
        <f>+MASTER!C17</f>
        <v>1</v>
      </c>
      <c r="K4" s="22">
        <f>0.4*A4/25.4+0.14*B4/25.4</f>
        <v>2.8346456692913389</v>
      </c>
      <c r="L4" s="23">
        <f>(49.8111*LOG(D4)-260.78)/100*(10^(LOG(8)-LOG(C4))-1)+1</f>
        <v>3.2371842760518437</v>
      </c>
      <c r="M4" s="22">
        <f>IF(L4&gt;=1,L4,1)</f>
        <v>3.2371842760518437</v>
      </c>
      <c r="N4" s="23">
        <f>(0.0000018*LOG(C4)+0.00000157479)*D4/100*(10^(LOG(100)-1.7*LOG(C4))-1)+1</f>
        <v>2.740248938215883</v>
      </c>
      <c r="O4" s="22">
        <f>+LOG(N4/M4)/1.7</f>
        <v>-4.2574943581278023E-2</v>
      </c>
      <c r="P4" s="23">
        <f>+M4/10^(1.6*O4)</f>
        <v>3.7869304755611486</v>
      </c>
      <c r="Q4" s="22">
        <f>2.54*(C4-0.28)^0.028*D4^0.0504</f>
        <v>5.2887447697474332</v>
      </c>
      <c r="R4" s="23">
        <f>+-LOG(N4)/(Q4-3.3)</f>
        <v>-0.22013383758545479</v>
      </c>
      <c r="S4" s="22">
        <f>+N4/10^(3.3*R4)</f>
        <v>14.595926985038316</v>
      </c>
      <c r="T4" s="23">
        <f>10^(O4*K4+LOG(P4))</f>
        <v>2.8681539094629085</v>
      </c>
      <c r="U4" s="22">
        <f>10^(R4*K4+LOG(S4))</f>
        <v>3.4692073097850979</v>
      </c>
      <c r="V4" s="23">
        <f>IF(K4&lt;=3.3,T4,U4)</f>
        <v>2.8681539094629085</v>
      </c>
      <c r="W4" s="22">
        <f>+IF(V4&gt;=1,V4,1)</f>
        <v>2.8681539094629085</v>
      </c>
      <c r="X4" s="23">
        <f>+W4*(0.62*LOG(W4)*E4+1-0.62*LOG(W4))</f>
        <v>2.5385916219812885</v>
      </c>
      <c r="Y4" s="22">
        <f>+X4*F4</f>
        <v>2.5385916219812885</v>
      </c>
      <c r="Z4" s="22">
        <f>+Y4*H4</f>
        <v>2.5385916219812885</v>
      </c>
      <c r="AA4" s="26">
        <f>+Z4*J4</f>
        <v>2.5385916219812885</v>
      </c>
      <c r="AB4" s="27">
        <f>+IF(AA4&gt;=1,AA4,1)</f>
        <v>2.5385916219812885</v>
      </c>
      <c r="AC4" s="28">
        <f>+(1-4.4511*C4^-0.5223)*A4/160+4.4511*C4^-0.5223</f>
        <v>2.3820973969034371</v>
      </c>
      <c r="AD4" s="23">
        <f>(55.81466*LOG(D4)-287.7)/100*(AC4-1)+1</f>
        <v>1.8618857059633813</v>
      </c>
      <c r="AE4" s="22">
        <f>+AD4*(0.2*E4+0.8)</f>
        <v>1.7110729637803475</v>
      </c>
      <c r="AF4" s="22">
        <f>+AE4*G4</f>
        <v>1.7110729637803475</v>
      </c>
      <c r="AG4" s="23">
        <f>+AF4*I4</f>
        <v>1.7110729637803475</v>
      </c>
      <c r="AH4" s="26">
        <f>+AG4*J4</f>
        <v>1.7110729637803475</v>
      </c>
      <c r="AI4" s="27">
        <f>+IF(AH4&gt;1,AH4,1)</f>
        <v>1.7110729637803475</v>
      </c>
      <c r="AJ4" s="29">
        <f>+AI4*AB4</f>
        <v>4.3437154904514825</v>
      </c>
    </row>
    <row r="6" spans="1:36" x14ac:dyDescent="0.2">
      <c r="B6" s="2"/>
      <c r="C6" s="2"/>
      <c r="D6" s="2"/>
    </row>
    <row r="7" spans="1:36" x14ac:dyDescent="0.2">
      <c r="B7" s="1"/>
      <c r="C7" s="1"/>
      <c r="D7" s="1"/>
    </row>
    <row r="13" spans="1:36" x14ac:dyDescent="0.2">
      <c r="A13" s="21">
        <f>+MASTER!C24*MASTER!D24*MASTER!E24*MASTER!C25*MASTER!D25*MASTER!E25</f>
        <v>0</v>
      </c>
    </row>
    <row r="14" spans="1:36" x14ac:dyDescent="0.2">
      <c r="A14" s="21" t="b">
        <v>0</v>
      </c>
    </row>
    <row r="15" spans="1:36" x14ac:dyDescent="0.2">
      <c r="A15" s="21" t="b">
        <v>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8"/>
  <sheetViews>
    <sheetView workbookViewId="0">
      <selection activeCell="C1" sqref="C1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6" x14ac:dyDescent="0.2">
      <c r="A1" s="11" t="s">
        <v>74</v>
      </c>
      <c r="B1" s="30" t="s">
        <v>30</v>
      </c>
      <c r="C1" s="30" t="s">
        <v>28</v>
      </c>
    </row>
    <row r="2" spans="1:6" x14ac:dyDescent="0.2">
      <c r="A2" s="11"/>
      <c r="B2" s="30"/>
      <c r="C2" s="30"/>
    </row>
    <row r="3" spans="1:6" x14ac:dyDescent="0.2">
      <c r="A3" s="12" t="s">
        <v>31</v>
      </c>
      <c r="B3" s="31">
        <f>+TBR_BCR_0!A4</f>
        <v>75</v>
      </c>
      <c r="C3" s="32">
        <f>+B3</f>
        <v>75</v>
      </c>
    </row>
    <row r="4" spans="1:6" x14ac:dyDescent="0.2">
      <c r="A4" s="12" t="s">
        <v>32</v>
      </c>
      <c r="B4" s="31">
        <v>0.4</v>
      </c>
      <c r="C4" s="31">
        <f>+B4</f>
        <v>0.4</v>
      </c>
    </row>
    <row r="5" spans="1:6" x14ac:dyDescent="0.2">
      <c r="A5" s="12" t="s">
        <v>41</v>
      </c>
      <c r="B5" s="33">
        <f>+TBR_BCR_0!AB4</f>
        <v>2.5385916219812885</v>
      </c>
      <c r="C5" s="33">
        <f>+B5</f>
        <v>2.5385916219812885</v>
      </c>
    </row>
    <row r="6" spans="1:6" x14ac:dyDescent="0.2">
      <c r="A6" s="12" t="s">
        <v>33</v>
      </c>
      <c r="B6" s="34">
        <f>+TBR_BCR_0!B4</f>
        <v>300</v>
      </c>
      <c r="C6" s="32">
        <f>+(B9-C3/25.4*C4)/(C7*C8)*25.4</f>
        <v>235.44202184143833</v>
      </c>
    </row>
    <row r="7" spans="1:6" x14ac:dyDescent="0.2">
      <c r="A7" s="13" t="s">
        <v>34</v>
      </c>
      <c r="B7" s="34">
        <v>0.14000000000000001</v>
      </c>
      <c r="C7" s="33">
        <v>0.17838786666674769</v>
      </c>
      <c r="E7" t="s">
        <v>85</v>
      </c>
      <c r="F7" s="1">
        <f>10^((C7+0.977)/0.249)/10^((B7+0.977)/0.249)</f>
        <v>1.4261596313805867</v>
      </c>
    </row>
    <row r="8" spans="1:6" x14ac:dyDescent="0.2">
      <c r="A8" s="13" t="s">
        <v>35</v>
      </c>
      <c r="B8" s="31">
        <v>1</v>
      </c>
      <c r="C8" s="31">
        <f>+B8</f>
        <v>1</v>
      </c>
      <c r="E8" t="s">
        <v>83</v>
      </c>
    </row>
    <row r="9" spans="1:6" x14ac:dyDescent="0.2">
      <c r="A9" s="13" t="s">
        <v>36</v>
      </c>
      <c r="B9" s="35">
        <f>+B3/25.4*B4+B6/25.4*B7*B8</f>
        <v>2.8346456692913389</v>
      </c>
      <c r="C9" s="35">
        <f>+C3/25.4*C4+C6/25.4*C7*C8</f>
        <v>2.8346456692913389</v>
      </c>
      <c r="E9" t="s">
        <v>84</v>
      </c>
    </row>
    <row r="10" spans="1:6" x14ac:dyDescent="0.2">
      <c r="A10" s="13" t="s">
        <v>29</v>
      </c>
      <c r="B10" s="34">
        <v>95</v>
      </c>
      <c r="C10" s="31">
        <f t="shared" ref="C10:C15" si="0">+B10</f>
        <v>95</v>
      </c>
    </row>
    <row r="11" spans="1:6" x14ac:dyDescent="0.2">
      <c r="A11" s="14" t="s">
        <v>37</v>
      </c>
      <c r="B11" s="21">
        <v>-1.645</v>
      </c>
      <c r="C11" s="31">
        <f t="shared" si="0"/>
        <v>-1.645</v>
      </c>
    </row>
    <row r="12" spans="1:6" x14ac:dyDescent="0.2">
      <c r="A12" s="14" t="s">
        <v>38</v>
      </c>
      <c r="B12" s="31">
        <v>0.35</v>
      </c>
      <c r="C12" s="31">
        <f t="shared" si="0"/>
        <v>0.35</v>
      </c>
    </row>
    <row r="13" spans="1:6" x14ac:dyDescent="0.2">
      <c r="A13" s="14" t="s">
        <v>44</v>
      </c>
      <c r="B13" s="34">
        <v>1.9</v>
      </c>
      <c r="C13" s="31">
        <f t="shared" si="0"/>
        <v>1.9</v>
      </c>
    </row>
    <row r="14" spans="1:6" x14ac:dyDescent="0.2">
      <c r="A14" s="15" t="s">
        <v>39</v>
      </c>
      <c r="B14" s="34">
        <f>+MASTER!C12</f>
        <v>1.5</v>
      </c>
      <c r="C14" s="31">
        <f t="shared" si="0"/>
        <v>1.5</v>
      </c>
    </row>
    <row r="15" spans="1:6" x14ac:dyDescent="0.2">
      <c r="A15" s="14" t="s">
        <v>40</v>
      </c>
      <c r="B15" s="31">
        <f>+B14*1500</f>
        <v>2250</v>
      </c>
      <c r="C15" s="31">
        <f t="shared" si="0"/>
        <v>2250</v>
      </c>
    </row>
    <row r="16" spans="1:6" x14ac:dyDescent="0.2">
      <c r="A16" s="15" t="s">
        <v>42</v>
      </c>
      <c r="B16" s="32">
        <f>10^(+B11*B12+9.36*LOG(B9+1)-0.2+(LOG(B13/(4.2-1.5)))/(0.4+1094/((B9+1)^5.19))+2.32*LOG(B15)-8.07)</f>
        <v>19393.967362236206</v>
      </c>
      <c r="C16" s="32">
        <f>10^(+C11*C12+9.36*LOG(C9+1)-0.2+(LOG(C13/(4.2-1.5)))/(0.4+1094/((C9+1)^5.19))+2.32*LOG(C15)-8.07)</f>
        <v>19393.967362236206</v>
      </c>
    </row>
    <row r="17" spans="1:3" x14ac:dyDescent="0.2">
      <c r="A17" s="12"/>
      <c r="B17" s="31"/>
      <c r="C17" s="31"/>
    </row>
    <row r="18" spans="1:3" x14ac:dyDescent="0.2">
      <c r="A18" s="16" t="s">
        <v>43</v>
      </c>
      <c r="B18" s="31"/>
      <c r="C18" s="33">
        <f>+(B6-C6)/B6*100</f>
        <v>21.519326052853891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F18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6" x14ac:dyDescent="0.2">
      <c r="A1" s="11" t="s">
        <v>75</v>
      </c>
      <c r="B1" s="30" t="s">
        <v>30</v>
      </c>
      <c r="C1" s="30" t="s">
        <v>28</v>
      </c>
    </row>
    <row r="2" spans="1:6" x14ac:dyDescent="0.2">
      <c r="A2" s="11"/>
      <c r="B2" s="30"/>
      <c r="C2" s="30"/>
    </row>
    <row r="3" spans="1:6" x14ac:dyDescent="0.2">
      <c r="A3" s="12" t="s">
        <v>31</v>
      </c>
      <c r="B3" s="31">
        <f>+TBR_BCR_0!A4</f>
        <v>75</v>
      </c>
      <c r="C3" s="32">
        <f>+B3</f>
        <v>75</v>
      </c>
    </row>
    <row r="4" spans="1:6" x14ac:dyDescent="0.2">
      <c r="A4" s="12" t="s">
        <v>32</v>
      </c>
      <c r="B4" s="31">
        <v>0.4</v>
      </c>
      <c r="C4" s="31">
        <f>+B4</f>
        <v>0.4</v>
      </c>
    </row>
    <row r="5" spans="1:6" x14ac:dyDescent="0.2">
      <c r="A5" s="12" t="s">
        <v>41</v>
      </c>
      <c r="B5" s="33">
        <f>+TBR_BCR_0!AI4</f>
        <v>1.7110729637803475</v>
      </c>
      <c r="C5" s="33">
        <f>+B5</f>
        <v>1.7110729637803475</v>
      </c>
    </row>
    <row r="6" spans="1:6" x14ac:dyDescent="0.2">
      <c r="A6" s="12" t="s">
        <v>33</v>
      </c>
      <c r="B6" s="34">
        <f>+TBR_BCR_0!B4</f>
        <v>300</v>
      </c>
      <c r="C6" s="32">
        <f>+(B9-C3/25.4*C4)/(C7*C8)*25.4</f>
        <v>260.05333157205251</v>
      </c>
    </row>
    <row r="7" spans="1:6" x14ac:dyDescent="0.2">
      <c r="A7" s="13" t="s">
        <v>34</v>
      </c>
      <c r="B7" s="34">
        <v>0.14000000000000001</v>
      </c>
      <c r="C7" s="33">
        <v>0.16150533333337871</v>
      </c>
      <c r="E7" t="s">
        <v>85</v>
      </c>
      <c r="F7" s="1">
        <f>10^((C7+0.977)/0.249)/10^((B7+0.977)/0.249)</f>
        <v>1.2200195795684665</v>
      </c>
    </row>
    <row r="8" spans="1:6" x14ac:dyDescent="0.2">
      <c r="A8" s="13" t="s">
        <v>35</v>
      </c>
      <c r="B8" s="31">
        <v>1</v>
      </c>
      <c r="C8" s="31">
        <f>+B8</f>
        <v>1</v>
      </c>
      <c r="E8" t="s">
        <v>83</v>
      </c>
    </row>
    <row r="9" spans="1:6" x14ac:dyDescent="0.2">
      <c r="A9" s="13" t="s">
        <v>36</v>
      </c>
      <c r="B9" s="35">
        <f>+B3/25.4*B4+B6/25.4*B7*B8</f>
        <v>2.8346456692913389</v>
      </c>
      <c r="C9" s="35">
        <f>+C3/25.4*C4+C6/25.4*C7*C8</f>
        <v>2.8346456692913389</v>
      </c>
      <c r="E9" t="s">
        <v>84</v>
      </c>
    </row>
    <row r="10" spans="1:6" x14ac:dyDescent="0.2">
      <c r="A10" s="13" t="s">
        <v>29</v>
      </c>
      <c r="B10" s="34">
        <v>95</v>
      </c>
      <c r="C10" s="31">
        <f t="shared" ref="C10:C15" si="0">+B10</f>
        <v>95</v>
      </c>
    </row>
    <row r="11" spans="1:6" x14ac:dyDescent="0.2">
      <c r="A11" s="14" t="s">
        <v>37</v>
      </c>
      <c r="B11" s="21">
        <v>-1.645</v>
      </c>
      <c r="C11" s="31">
        <f t="shared" si="0"/>
        <v>-1.645</v>
      </c>
    </row>
    <row r="12" spans="1:6" x14ac:dyDescent="0.2">
      <c r="A12" s="14" t="s">
        <v>38</v>
      </c>
      <c r="B12" s="31">
        <v>0.35</v>
      </c>
      <c r="C12" s="31">
        <f t="shared" si="0"/>
        <v>0.35</v>
      </c>
    </row>
    <row r="13" spans="1:6" x14ac:dyDescent="0.2">
      <c r="A13" s="14" t="s">
        <v>44</v>
      </c>
      <c r="B13" s="34">
        <v>1.9</v>
      </c>
      <c r="C13" s="31">
        <f t="shared" si="0"/>
        <v>1.9</v>
      </c>
    </row>
    <row r="14" spans="1:6" x14ac:dyDescent="0.2">
      <c r="A14" s="15" t="s">
        <v>39</v>
      </c>
      <c r="B14" s="34">
        <f>+MASTER!C12</f>
        <v>1.5</v>
      </c>
      <c r="C14" s="31">
        <f t="shared" si="0"/>
        <v>1.5</v>
      </c>
    </row>
    <row r="15" spans="1:6" x14ac:dyDescent="0.2">
      <c r="A15" s="14" t="s">
        <v>40</v>
      </c>
      <c r="B15" s="31">
        <f>+B14*1500</f>
        <v>2250</v>
      </c>
      <c r="C15" s="31">
        <f t="shared" si="0"/>
        <v>2250</v>
      </c>
    </row>
    <row r="16" spans="1:6" x14ac:dyDescent="0.2">
      <c r="A16" s="15" t="s">
        <v>42</v>
      </c>
      <c r="B16" s="32">
        <f>10^(+B11*B12+9.36*LOG(B9+1)-0.2+(LOG(B13/(4.2-1.5)))/(0.4+1094/((B9+1)^5.19))+2.32*LOG(B15)-8.07)</f>
        <v>19393.967362236206</v>
      </c>
      <c r="C16" s="32">
        <f>10^(+C11*C12+9.36*LOG(C9+1)-0.2+(LOG(C13/(4.2-1.5)))/(0.4+1094/((C9+1)^5.19))+2.32*LOG(C15)-8.07)</f>
        <v>19393.967362236206</v>
      </c>
    </row>
    <row r="17" spans="1:3" x14ac:dyDescent="0.2">
      <c r="A17" s="12"/>
      <c r="B17" s="31"/>
      <c r="C17" s="31"/>
    </row>
    <row r="18" spans="1:3" x14ac:dyDescent="0.2">
      <c r="A18" s="16" t="s">
        <v>43</v>
      </c>
      <c r="B18" s="31"/>
      <c r="C18" s="33">
        <f>+(B6-C6)/B6*100</f>
        <v>13.315556142649163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F18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6" x14ac:dyDescent="0.2">
      <c r="A1" s="11" t="s">
        <v>76</v>
      </c>
      <c r="B1" s="30" t="s">
        <v>30</v>
      </c>
      <c r="C1" s="30" t="s">
        <v>28</v>
      </c>
    </row>
    <row r="2" spans="1:6" x14ac:dyDescent="0.2">
      <c r="A2" s="11"/>
      <c r="B2" s="30"/>
      <c r="C2" s="30"/>
    </row>
    <row r="3" spans="1:6" x14ac:dyDescent="0.2">
      <c r="A3" s="12" t="s">
        <v>31</v>
      </c>
      <c r="B3" s="31">
        <f>+TBR_BCR_0!A4</f>
        <v>75</v>
      </c>
      <c r="C3" s="32">
        <f>+B3</f>
        <v>75</v>
      </c>
    </row>
    <row r="4" spans="1:6" x14ac:dyDescent="0.2">
      <c r="A4" s="12" t="s">
        <v>32</v>
      </c>
      <c r="B4" s="31">
        <v>0.4</v>
      </c>
      <c r="C4" s="31">
        <f>+B4</f>
        <v>0.4</v>
      </c>
    </row>
    <row r="5" spans="1:6" x14ac:dyDescent="0.2">
      <c r="A5" s="12" t="s">
        <v>41</v>
      </c>
      <c r="B5" s="33">
        <f>+TBR_BCR_0!AJ4</f>
        <v>4.3437154904514825</v>
      </c>
      <c r="C5" s="33">
        <f>+B5</f>
        <v>4.3437154904514825</v>
      </c>
    </row>
    <row r="6" spans="1:6" x14ac:dyDescent="0.2">
      <c r="A6" s="12" t="s">
        <v>33</v>
      </c>
      <c r="B6" s="34">
        <f>+TBR_BCR_0!B4</f>
        <v>300</v>
      </c>
      <c r="C6" s="32">
        <f>+(B9-C3/25.4*C4)/(C7*C8)*25.4</f>
        <v>207.03423458936996</v>
      </c>
    </row>
    <row r="7" spans="1:6" x14ac:dyDescent="0.2">
      <c r="A7" s="13" t="s">
        <v>34</v>
      </c>
      <c r="B7" s="34">
        <v>0.14000000000000001</v>
      </c>
      <c r="C7" s="33">
        <v>0.20286500000013266</v>
      </c>
      <c r="E7" t="s">
        <v>85</v>
      </c>
      <c r="F7" s="1">
        <f>10^((C7+0.977)/0.249)/10^((B7+0.977)/0.249)</f>
        <v>1.7884214888851091</v>
      </c>
    </row>
    <row r="8" spans="1:6" x14ac:dyDescent="0.2">
      <c r="A8" s="13" t="s">
        <v>35</v>
      </c>
      <c r="B8" s="31">
        <v>1</v>
      </c>
      <c r="C8" s="31">
        <f>+B8</f>
        <v>1</v>
      </c>
      <c r="E8" t="s">
        <v>83</v>
      </c>
    </row>
    <row r="9" spans="1:6" x14ac:dyDescent="0.2">
      <c r="A9" s="13" t="s">
        <v>36</v>
      </c>
      <c r="B9" s="35">
        <f>+B3/25.4*B4+B6/25.4*B7*B8</f>
        <v>2.8346456692913389</v>
      </c>
      <c r="C9" s="35">
        <f>+C3/25.4*C4+C6/25.4*C7*C8</f>
        <v>2.8346456692913389</v>
      </c>
      <c r="E9" t="s">
        <v>84</v>
      </c>
    </row>
    <row r="10" spans="1:6" x14ac:dyDescent="0.2">
      <c r="A10" s="13" t="s">
        <v>29</v>
      </c>
      <c r="B10" s="34">
        <v>95</v>
      </c>
      <c r="C10" s="31">
        <f t="shared" ref="C10:C15" si="0">+B10</f>
        <v>95</v>
      </c>
    </row>
    <row r="11" spans="1:6" x14ac:dyDescent="0.2">
      <c r="A11" s="14" t="s">
        <v>37</v>
      </c>
      <c r="B11" s="21">
        <v>-1.645</v>
      </c>
      <c r="C11" s="31">
        <f t="shared" si="0"/>
        <v>-1.645</v>
      </c>
    </row>
    <row r="12" spans="1:6" x14ac:dyDescent="0.2">
      <c r="A12" s="14" t="s">
        <v>38</v>
      </c>
      <c r="B12" s="31">
        <v>0.35</v>
      </c>
      <c r="C12" s="31">
        <f t="shared" si="0"/>
        <v>0.35</v>
      </c>
    </row>
    <row r="13" spans="1:6" x14ac:dyDescent="0.2">
      <c r="A13" s="14" t="s">
        <v>44</v>
      </c>
      <c r="B13" s="34">
        <v>1.9</v>
      </c>
      <c r="C13" s="31">
        <f t="shared" si="0"/>
        <v>1.9</v>
      </c>
    </row>
    <row r="14" spans="1:6" x14ac:dyDescent="0.2">
      <c r="A14" s="15" t="s">
        <v>39</v>
      </c>
      <c r="B14" s="34">
        <f>+MASTER!C12</f>
        <v>1.5</v>
      </c>
      <c r="C14" s="31">
        <f t="shared" si="0"/>
        <v>1.5</v>
      </c>
    </row>
    <row r="15" spans="1:6" x14ac:dyDescent="0.2">
      <c r="A15" s="14" t="s">
        <v>40</v>
      </c>
      <c r="B15" s="31">
        <f>+B14*1500</f>
        <v>2250</v>
      </c>
      <c r="C15" s="31">
        <f t="shared" si="0"/>
        <v>2250</v>
      </c>
    </row>
    <row r="16" spans="1:6" x14ac:dyDescent="0.2">
      <c r="A16" s="15" t="s">
        <v>42</v>
      </c>
      <c r="B16" s="32">
        <f>10^(+B11*B12+9.36*LOG(B9+1)-0.2+(LOG(B13/(4.2-1.5)))/(0.4+1094/((B9+1)^5.19))+2.32*LOG(B15)-8.07)</f>
        <v>19393.967362236206</v>
      </c>
      <c r="C16" s="32">
        <f>10^(+C11*C12+9.36*LOG(C9+1)-0.2+(LOG(C13/(4.2-1.5)))/(0.4+1094/((C9+1)^5.19))+2.32*LOG(C15)-8.07)</f>
        <v>19393.967362236206</v>
      </c>
    </row>
    <row r="17" spans="1:3" x14ac:dyDescent="0.2">
      <c r="A17" s="12"/>
      <c r="B17" s="31"/>
      <c r="C17" s="31"/>
    </row>
    <row r="18" spans="1:3" x14ac:dyDescent="0.2">
      <c r="A18" s="16" t="s">
        <v>43</v>
      </c>
      <c r="B18" s="31"/>
      <c r="C18" s="33">
        <f>+(B6-C6)/B6*100</f>
        <v>30.988588470210015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19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77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+TBR_BCR_0!AB4</f>
        <v>2.5385916219812885</v>
      </c>
      <c r="C5" s="33">
        <f>+B5</f>
        <v>2.5385916219812885</v>
      </c>
    </row>
    <row r="6" spans="1:3" x14ac:dyDescent="0.2">
      <c r="A6" s="13" t="s">
        <v>45</v>
      </c>
      <c r="B6" s="31"/>
      <c r="C6" s="31">
        <f>+MASTER!C25</f>
        <v>0</v>
      </c>
    </row>
    <row r="7" spans="1:3" x14ac:dyDescent="0.2">
      <c r="A7" s="12" t="s">
        <v>33</v>
      </c>
      <c r="B7" s="34">
        <f>+TBR_BCR_0!B4</f>
        <v>300</v>
      </c>
      <c r="C7" s="32">
        <f>+B7-C6/100*B7</f>
        <v>300</v>
      </c>
    </row>
    <row r="8" spans="1:3" x14ac:dyDescent="0.2">
      <c r="A8" s="13" t="s">
        <v>34</v>
      </c>
      <c r="B8" s="34">
        <v>0.14000000000000001</v>
      </c>
      <c r="C8" s="33">
        <v>0.17838786666674769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f>+C3/25.4*C4+C7/25.4*C8*C9</f>
        <v>3.2880456692922957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+MASTER!C12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10^(+C12*C13+9.36*LOG(C10+1)-0.2+(LOG(C14/(4.2-1.5)))/(0.4+1094/((C10+1)^5.19))+2.32*LOG(C16)-8.07)</f>
        <v>49237.567381550944</v>
      </c>
    </row>
    <row r="18" spans="1:3" x14ac:dyDescent="0.2">
      <c r="A18" s="12"/>
      <c r="B18" s="31"/>
      <c r="C18" s="31"/>
    </row>
    <row r="19" spans="1:3" x14ac:dyDescent="0.2">
      <c r="A19" s="16" t="s">
        <v>46</v>
      </c>
      <c r="B19" s="31"/>
      <c r="C19" s="33">
        <f>+C17/B17</f>
        <v>2.538808406856762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19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1" customWidth="1"/>
    <col min="13" max="14" width="11.140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78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+TBR_BCR_0!AB4</f>
        <v>2.5385916219812885</v>
      </c>
      <c r="C5" s="33">
        <f>+B5</f>
        <v>2.5385916219812885</v>
      </c>
    </row>
    <row r="6" spans="1:3" x14ac:dyDescent="0.2">
      <c r="A6" s="13" t="s">
        <v>47</v>
      </c>
      <c r="B6" s="31"/>
      <c r="C6" s="33">
        <f>+MASTER!C24</f>
        <v>1</v>
      </c>
    </row>
    <row r="7" spans="1:3" x14ac:dyDescent="0.2">
      <c r="A7" s="12" t="s">
        <v>33</v>
      </c>
      <c r="B7" s="34">
        <f>+TBR_BCR_0!B4</f>
        <v>300</v>
      </c>
      <c r="C7" s="32">
        <f>+(C10-C3/25.4*C4)/(C8*C9)*25.4</f>
        <v>235.45626047799738</v>
      </c>
    </row>
    <row r="8" spans="1:3" x14ac:dyDescent="0.2">
      <c r="A8" s="13" t="s">
        <v>34</v>
      </c>
      <c r="B8" s="34">
        <v>0.14000000000000001</v>
      </c>
      <c r="C8" s="33">
        <v>0.17838786666674769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v>2.8347456692913391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+B17*C6</f>
        <v>19393.967362236206</v>
      </c>
    </row>
    <row r="18" spans="1:3" x14ac:dyDescent="0.2">
      <c r="A18" s="12"/>
      <c r="B18" s="31"/>
      <c r="C18" s="31"/>
    </row>
    <row r="19" spans="1:3" x14ac:dyDescent="0.2">
      <c r="A19" s="16" t="s">
        <v>43</v>
      </c>
      <c r="B19" s="31"/>
      <c r="C19" s="33">
        <f>+(B7-C7)/B7*100</f>
        <v>21.51457984066754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9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7.5703125" customWidth="1"/>
    <col min="13" max="13" width="14.42578125" customWidth="1"/>
    <col min="14" max="14" width="15.28515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79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+TBR_BCR_0!AI4</f>
        <v>1.7110729637803475</v>
      </c>
      <c r="C5" s="33">
        <f>+B5</f>
        <v>1.7110729637803475</v>
      </c>
    </row>
    <row r="6" spans="1:3" x14ac:dyDescent="0.2">
      <c r="A6" s="13" t="s">
        <v>45</v>
      </c>
      <c r="B6" s="31"/>
      <c r="C6" s="31">
        <f>+MASTER!D25</f>
        <v>0</v>
      </c>
    </row>
    <row r="7" spans="1:3" x14ac:dyDescent="0.2">
      <c r="A7" s="12" t="s">
        <v>33</v>
      </c>
      <c r="B7" s="34">
        <f>+TBR_BCR_0!B4</f>
        <v>300</v>
      </c>
      <c r="C7" s="32">
        <f>+B7-C6/100*B7</f>
        <v>300</v>
      </c>
    </row>
    <row r="8" spans="1:3" x14ac:dyDescent="0.2">
      <c r="A8" s="13" t="s">
        <v>34</v>
      </c>
      <c r="B8" s="34">
        <v>0.14000000000000001</v>
      </c>
      <c r="C8" s="33">
        <v>0.16150533333337871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f>+C3/25.4*C4+C7/25.4*C8*C9</f>
        <v>3.0886456692918749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+MASTER!C12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10^(+C12*C13+9.36*LOG(C10+1)-0.2+(LOG(C14/(4.2-1.5)))/(0.4+1094/((C10+1)^5.19))+2.32*LOG(C16)-8.07)</f>
        <v>33186.75123464952</v>
      </c>
    </row>
    <row r="18" spans="1:3" x14ac:dyDescent="0.2">
      <c r="A18" s="12"/>
      <c r="B18" s="31"/>
      <c r="C18" s="31"/>
    </row>
    <row r="19" spans="1:3" x14ac:dyDescent="0.2">
      <c r="A19" s="16" t="s">
        <v>46</v>
      </c>
      <c r="B19" s="31"/>
      <c r="C19" s="33">
        <f>+C17/B17</f>
        <v>1.7111893928042039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19"/>
  <sheetViews>
    <sheetView workbookViewId="0">
      <selection activeCell="B3" sqref="B3"/>
    </sheetView>
  </sheetViews>
  <sheetFormatPr defaultRowHeight="12.75" x14ac:dyDescent="0.2"/>
  <cols>
    <col min="1" max="1" width="32" customWidth="1"/>
    <col min="2" max="2" width="12.28515625" style="21" customWidth="1"/>
    <col min="3" max="3" width="10.140625" style="21" customWidth="1"/>
    <col min="7" max="7" width="11.5703125" customWidth="1"/>
    <col min="8" max="11" width="10.140625" customWidth="1"/>
    <col min="12" max="12" width="11" customWidth="1"/>
    <col min="13" max="14" width="11.140625" customWidth="1"/>
    <col min="15" max="15" width="13.85546875" customWidth="1"/>
    <col min="16" max="16" width="16.5703125" customWidth="1"/>
    <col min="17" max="17" width="14.85546875" customWidth="1"/>
    <col min="18" max="18" width="13.5703125" customWidth="1"/>
    <col min="19" max="19" width="20" customWidth="1"/>
    <col min="20" max="20" width="19.28515625" customWidth="1"/>
    <col min="22" max="22" width="15.140625" customWidth="1"/>
    <col min="23" max="23" width="15.85546875" customWidth="1"/>
    <col min="24" max="24" width="18" customWidth="1"/>
    <col min="26" max="26" width="16.85546875" customWidth="1"/>
    <col min="27" max="27" width="11.7109375" customWidth="1"/>
    <col min="28" max="28" width="10.7109375" customWidth="1"/>
  </cols>
  <sheetData>
    <row r="1" spans="1:3" x14ac:dyDescent="0.2">
      <c r="A1" s="11" t="s">
        <v>80</v>
      </c>
      <c r="B1" s="30" t="s">
        <v>30</v>
      </c>
      <c r="C1" s="30" t="s">
        <v>28</v>
      </c>
    </row>
    <row r="2" spans="1:3" x14ac:dyDescent="0.2">
      <c r="A2" s="11"/>
      <c r="B2" s="30"/>
      <c r="C2" s="30"/>
    </row>
    <row r="3" spans="1:3" x14ac:dyDescent="0.2">
      <c r="A3" s="12" t="s">
        <v>31</v>
      </c>
      <c r="B3" s="31">
        <f>+TBR_BCR_0!A4</f>
        <v>75</v>
      </c>
      <c r="C3" s="32">
        <f>+B3</f>
        <v>75</v>
      </c>
    </row>
    <row r="4" spans="1:3" x14ac:dyDescent="0.2">
      <c r="A4" s="12" t="s">
        <v>32</v>
      </c>
      <c r="B4" s="31">
        <v>0.4</v>
      </c>
      <c r="C4" s="31">
        <f>+B4</f>
        <v>0.4</v>
      </c>
    </row>
    <row r="5" spans="1:3" x14ac:dyDescent="0.2">
      <c r="A5" s="12" t="s">
        <v>41</v>
      </c>
      <c r="B5" s="33">
        <f>+TBR_BCR_0!AI4</f>
        <v>1.7110729637803475</v>
      </c>
      <c r="C5" s="33">
        <f>+B5</f>
        <v>1.7110729637803475</v>
      </c>
    </row>
    <row r="6" spans="1:3" x14ac:dyDescent="0.2">
      <c r="A6" s="13" t="s">
        <v>47</v>
      </c>
      <c r="B6" s="31"/>
      <c r="C6" s="33">
        <f>+MASTER!D24</f>
        <v>1</v>
      </c>
    </row>
    <row r="7" spans="1:3" x14ac:dyDescent="0.2">
      <c r="A7" s="12" t="s">
        <v>33</v>
      </c>
      <c r="B7" s="34">
        <f>+TBR_BCR_0!B4</f>
        <v>300</v>
      </c>
      <c r="C7" s="32">
        <f>+(C10-C3/25.4*C4)/(C8*C9)*25.4</f>
        <v>260.06905860686669</v>
      </c>
    </row>
    <row r="8" spans="1:3" x14ac:dyDescent="0.2">
      <c r="A8" s="13" t="s">
        <v>34</v>
      </c>
      <c r="B8" s="34">
        <v>0.14000000000000001</v>
      </c>
      <c r="C8" s="33">
        <v>0.16150533333337871</v>
      </c>
    </row>
    <row r="9" spans="1:3" x14ac:dyDescent="0.2">
      <c r="A9" s="13" t="s">
        <v>35</v>
      </c>
      <c r="B9" s="31">
        <v>1</v>
      </c>
      <c r="C9" s="31">
        <f>+B9</f>
        <v>1</v>
      </c>
    </row>
    <row r="10" spans="1:3" x14ac:dyDescent="0.2">
      <c r="A10" s="13" t="s">
        <v>36</v>
      </c>
      <c r="B10" s="35">
        <f>+B3/25.4*B4+B7/25.4*B8*B9</f>
        <v>2.8346456692913389</v>
      </c>
      <c r="C10" s="35">
        <v>2.8347456692913391</v>
      </c>
    </row>
    <row r="11" spans="1:3" x14ac:dyDescent="0.2">
      <c r="A11" s="13" t="s">
        <v>29</v>
      </c>
      <c r="B11" s="34">
        <v>95</v>
      </c>
      <c r="C11" s="31">
        <f t="shared" ref="C11:C16" si="0">+B11</f>
        <v>95</v>
      </c>
    </row>
    <row r="12" spans="1:3" x14ac:dyDescent="0.2">
      <c r="A12" s="14" t="s">
        <v>37</v>
      </c>
      <c r="B12" s="21">
        <v>-1.645</v>
      </c>
      <c r="C12" s="31">
        <f t="shared" si="0"/>
        <v>-1.645</v>
      </c>
    </row>
    <row r="13" spans="1:3" x14ac:dyDescent="0.2">
      <c r="A13" s="14" t="s">
        <v>38</v>
      </c>
      <c r="B13" s="31">
        <v>0.35</v>
      </c>
      <c r="C13" s="31">
        <f t="shared" si="0"/>
        <v>0.35</v>
      </c>
    </row>
    <row r="14" spans="1:3" x14ac:dyDescent="0.2">
      <c r="A14" s="14" t="s">
        <v>44</v>
      </c>
      <c r="B14" s="34">
        <v>1.9</v>
      </c>
      <c r="C14" s="31">
        <f t="shared" si="0"/>
        <v>1.9</v>
      </c>
    </row>
    <row r="15" spans="1:3" x14ac:dyDescent="0.2">
      <c r="A15" s="15" t="s">
        <v>39</v>
      </c>
      <c r="B15" s="34">
        <f>+MASTER!C12</f>
        <v>1.5</v>
      </c>
      <c r="C15" s="31">
        <f t="shared" si="0"/>
        <v>1.5</v>
      </c>
    </row>
    <row r="16" spans="1:3" x14ac:dyDescent="0.2">
      <c r="A16" s="14" t="s">
        <v>40</v>
      </c>
      <c r="B16" s="31">
        <f>+B15*1500</f>
        <v>2250</v>
      </c>
      <c r="C16" s="31">
        <f t="shared" si="0"/>
        <v>2250</v>
      </c>
    </row>
    <row r="17" spans="1:3" x14ac:dyDescent="0.2">
      <c r="A17" s="15" t="s">
        <v>42</v>
      </c>
      <c r="B17" s="32">
        <f>10^(+B12*B13+9.36*LOG(B10+1)-0.2+(LOG(B14/(4.2-1.5)))/(0.4+1094/((B10+1)^5.19))+2.32*LOG(B16)-8.07)</f>
        <v>19393.967362236206</v>
      </c>
      <c r="C17" s="32">
        <f>+B17*C6</f>
        <v>19393.967362236206</v>
      </c>
    </row>
    <row r="18" spans="1:3" x14ac:dyDescent="0.2">
      <c r="A18" s="12"/>
      <c r="B18" s="31"/>
      <c r="C18" s="31"/>
    </row>
    <row r="19" spans="1:3" x14ac:dyDescent="0.2">
      <c r="A19" s="16" t="s">
        <v>43</v>
      </c>
      <c r="B19" s="31"/>
      <c r="C19" s="33">
        <f>+(B7-C7)/B7*100</f>
        <v>13.310313797711103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</vt:lpstr>
      <vt:lpstr>TBR_BCR_0</vt:lpstr>
      <vt:lpstr>BCR_S_TBR_1</vt:lpstr>
      <vt:lpstr>BCR_B_TBR_1</vt:lpstr>
      <vt:lpstr>BCR_T_TBR_1</vt:lpstr>
      <vt:lpstr>BCRTBR_S_BCR</vt:lpstr>
      <vt:lpstr>BCRTBR_S_TBR</vt:lpstr>
      <vt:lpstr>BCRTBR_B_BCR</vt:lpstr>
      <vt:lpstr>BCRTBR_B_TBR</vt:lpstr>
      <vt:lpstr>BCRTBR_T_BCR</vt:lpstr>
      <vt:lpstr>BCRTBR_T_TBR</vt:lpstr>
    </vt:vector>
  </TitlesOfParts>
  <Company>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Perkins</dc:creator>
  <cp:lastModifiedBy>Perkins, Steve</cp:lastModifiedBy>
  <cp:lastPrinted>2001-08-22T05:42:38Z</cp:lastPrinted>
  <dcterms:created xsi:type="dcterms:W3CDTF">2001-04-05T11:51:28Z</dcterms:created>
  <dcterms:modified xsi:type="dcterms:W3CDTF">2021-05-20T17:51:56Z</dcterms:modified>
</cp:coreProperties>
</file>