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4.xml" ContentType="application/vnd.openxmlformats-officedocument.drawingml.chartshapes+xml"/>
  <Override PartName="/xl/charts/chart15.xml" ContentType="application/vnd.openxmlformats-officedocument.drawingml.chart+xml"/>
  <Override PartName="/xl/drawings/drawing15.xml" ContentType="application/vnd.openxmlformats-officedocument.drawingml.chartshape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ml.chartshapes+xml"/>
  <Override PartName="/xl/charts/chart19.xml" ContentType="application/vnd.openxmlformats-officedocument.drawingml.chart+xml"/>
  <Override PartName="/xl/drawings/drawing19.xml" ContentType="application/vnd.openxmlformats-officedocument.drawingml.chartshape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20.xml" ContentType="application/vnd.openxmlformats-officedocument.drawingml.chartshapes+xml"/>
  <Override PartName="/xl/charts/chart22.xml" ContentType="application/vnd.openxmlformats-officedocument.drawingml.chart+xml"/>
  <Override PartName="/xl/drawings/drawing21.xml" ContentType="application/vnd.openxmlformats-officedocument.drawingml.chartshapes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25.xml" ContentType="application/vnd.openxmlformats-officedocument.drawingml.chart+xml"/>
  <Override PartName="/xl/drawings/drawing24.xml" ContentType="application/vnd.openxmlformats-officedocument.drawingml.chartshapes+xml"/>
  <Override PartName="/xl/charts/chart26.xml" ContentType="application/vnd.openxmlformats-officedocument.drawingml.chart+xml"/>
  <Override PartName="/xl/drawings/drawing25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6.xml" ContentType="application/vnd.openxmlformats-officedocument.drawingml.chartshapes+xml"/>
  <Override PartName="/xl/charts/chart29.xml" ContentType="application/vnd.openxmlformats-officedocument.drawingml.chart+xml"/>
  <Override PartName="/xl/drawings/drawing27.xml" ContentType="application/vnd.openxmlformats-officedocument.drawingml.chartshapes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2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state\mdt\prd\Helena\Materials\FORMS\APPROVED\MDT-MAT-008_CONCMIXDESIGNSUBMIT\"/>
    </mc:Choice>
  </mc:AlternateContent>
  <xr:revisionPtr revIDLastSave="0" documentId="8_{D693D79A-B417-4710-8741-FC2A9664F28C}" xr6:coauthVersionLast="47" xr6:coauthVersionMax="47" xr10:uidLastSave="{00000000-0000-0000-0000-000000000000}"/>
  <workbookProtection workbookAlgorithmName="SHA-512" workbookHashValue="tJgPhGmw/PO08Ud9CesTpPTu77jmy1W/ET5oYm1yyy+Tb2NmnSsI1ZHIJ9p/JCV4Agfs19oqdW9yxL6N8cJr+w==" workbookSaltValue="g9ZRynUPvuOrBt2xPGi5sg==" workbookSpinCount="100000" lockStructure="1"/>
  <bookViews>
    <workbookView xWindow="-120" yWindow="-120" windowWidth="29040" windowHeight="15840" tabRatio="773" activeTab="1" xr2:uid="{00000000-000D-0000-FFFF-FFFF00000000}"/>
  </bookViews>
  <sheets>
    <sheet name="Transfer Form" sheetId="22" r:id="rId1"/>
    <sheet name="Original Submittal Form" sheetId="3" r:id="rId2"/>
    <sheet name="Contractor Mix Design" sheetId="2" r:id="rId3"/>
    <sheet name="Aggregate Charts" sheetId="7" r:id="rId4"/>
    <sheet name="Calculation (4)" sheetId="16" state="hidden" r:id="rId5"/>
    <sheet name="Calculation (3)" sheetId="14" state="hidden" r:id="rId6"/>
    <sheet name="Calculation (2)" sheetId="12" state="hidden" r:id="rId7"/>
    <sheet name="Calculation" sheetId="8" state="hidden" r:id="rId8"/>
    <sheet name="Aggregate Charts(Conv.)" sheetId="20" state="hidden" r:id="rId9"/>
    <sheet name="Trial Batch Data" sheetId="17" r:id="rId10"/>
    <sheet name="Aggregate Data" sheetId="18" r:id="rId11"/>
    <sheet name="List Data" sheetId="23" state="hidden" r:id="rId12"/>
  </sheets>
  <definedNames>
    <definedName name="_xlnm.Print_Area" localSheetId="3">'Aggregate Charts'!$A$4:$X$53</definedName>
    <definedName name="_xlnm.Print_Area" localSheetId="8">'Aggregate Charts(Conv.)'!$A$4:$K$30</definedName>
    <definedName name="_xlnm.Print_Area" localSheetId="10">'Aggregate Data'!$A$1:$J$40</definedName>
    <definedName name="_xlnm.Print_Area" localSheetId="7">Calculation!$E$4:$AA$52</definedName>
    <definedName name="_xlnm.Print_Area" localSheetId="6">'Calculation (2)'!$E$4:$AA$52</definedName>
    <definedName name="_xlnm.Print_Area" localSheetId="5">'Calculation (3)'!$E$4:$AA$52</definedName>
    <definedName name="_xlnm.Print_Area" localSheetId="4">'Calculation (4)'!$E$4:$AA$52</definedName>
    <definedName name="_xlnm.Print_Area" localSheetId="2">'Contractor Mix Design'!$A$1:$J$57</definedName>
    <definedName name="_xlnm.Print_Area" localSheetId="1">'Original Submittal Form'!$A$1:$I$47</definedName>
    <definedName name="_xlnm.Print_Area" localSheetId="0">'Transfer Form'!$A$1:$I$45</definedName>
    <definedName name="_xlnm.Print_Area" localSheetId="9">'Trial Batch Data'!$A$1:$I$43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7" l="1"/>
  <c r="K29" i="7"/>
  <c r="K27" i="7"/>
  <c r="K26" i="7"/>
  <c r="K25" i="7"/>
  <c r="K24" i="7"/>
  <c r="K23" i="7"/>
  <c r="K22" i="7"/>
  <c r="K21" i="7"/>
  <c r="K20" i="7"/>
  <c r="K19" i="7"/>
  <c r="K18" i="7"/>
  <c r="K17" i="7"/>
  <c r="D7" i="7"/>
  <c r="D9" i="7"/>
  <c r="H32" i="17"/>
  <c r="F32" i="17"/>
  <c r="B32" i="17"/>
  <c r="D24" i="22" l="1"/>
  <c r="D28" i="3" l="1"/>
  <c r="H4" i="2" l="1"/>
  <c r="C4" i="2"/>
  <c r="C3" i="2"/>
  <c r="C2" i="2"/>
  <c r="C1" i="2"/>
  <c r="D30" i="2" l="1"/>
  <c r="H3" i="2"/>
  <c r="D3" i="17" l="1"/>
  <c r="D8" i="7"/>
  <c r="K29" i="20"/>
  <c r="K28" i="20"/>
  <c r="K27" i="20"/>
  <c r="K26" i="20"/>
  <c r="K24" i="20"/>
  <c r="K23" i="20"/>
  <c r="K22" i="20"/>
  <c r="K21" i="20"/>
  <c r="K20" i="20"/>
  <c r="K19" i="20"/>
  <c r="K18" i="20"/>
  <c r="G12" i="20"/>
  <c r="D10" i="20"/>
  <c r="D9" i="20"/>
  <c r="D8" i="20"/>
  <c r="D7" i="20"/>
  <c r="H10" i="17"/>
  <c r="K17" i="20" l="1"/>
  <c r="K25" i="20"/>
  <c r="H40" i="7" l="1"/>
  <c r="H41" i="7"/>
  <c r="H42" i="7"/>
  <c r="H43" i="7"/>
  <c r="H44" i="7"/>
  <c r="H45" i="7"/>
  <c r="H46" i="7"/>
  <c r="H47" i="7"/>
  <c r="H48" i="7"/>
  <c r="H49" i="7"/>
  <c r="H50" i="7"/>
  <c r="H51" i="7"/>
  <c r="H39" i="7"/>
  <c r="H18" i="7"/>
  <c r="H19" i="7"/>
  <c r="I19" i="7" s="1"/>
  <c r="H20" i="7"/>
  <c r="I20" i="7" s="1"/>
  <c r="H21" i="7"/>
  <c r="I21" i="7" s="1"/>
  <c r="H22" i="7"/>
  <c r="I22" i="7" s="1"/>
  <c r="H23" i="7"/>
  <c r="I23" i="7" s="1"/>
  <c r="H24" i="7"/>
  <c r="I24" i="7" s="1"/>
  <c r="H25" i="7"/>
  <c r="H26" i="7"/>
  <c r="H27" i="7"/>
  <c r="I27" i="7" s="1"/>
  <c r="H28" i="7"/>
  <c r="I28" i="7" s="1"/>
  <c r="H29" i="7"/>
  <c r="I29" i="7" s="1"/>
  <c r="H17" i="7"/>
  <c r="I18" i="7" l="1"/>
  <c r="J19" i="7" s="1"/>
  <c r="J28" i="7"/>
  <c r="J20" i="7"/>
  <c r="I25" i="7"/>
  <c r="J25" i="7" s="1"/>
  <c r="J21" i="7"/>
  <c r="I17" i="7"/>
  <c r="I26" i="7"/>
  <c r="J29" i="7"/>
  <c r="J30" i="7"/>
  <c r="J23" i="7"/>
  <c r="J24" i="7"/>
  <c r="J22" i="7"/>
  <c r="J26" i="7" l="1"/>
  <c r="J18" i="7"/>
  <c r="J27" i="7"/>
  <c r="E43" i="2"/>
  <c r="E42" i="2"/>
  <c r="E41" i="2"/>
  <c r="E40" i="2"/>
  <c r="E38" i="2"/>
  <c r="E39" i="2"/>
  <c r="G12" i="7" l="1"/>
  <c r="F31" i="7" l="1"/>
  <c r="D52" i="2" l="1"/>
  <c r="D16" i="17" l="1"/>
  <c r="B10" i="17"/>
  <c r="F10" i="17"/>
  <c r="D10" i="17"/>
  <c r="K12" i="16" l="1"/>
  <c r="H10" i="16"/>
  <c r="Q8" i="16"/>
  <c r="H7" i="16"/>
  <c r="J4" i="16"/>
  <c r="J5" i="16"/>
  <c r="G7" i="16"/>
  <c r="G8" i="16"/>
  <c r="H8" i="16"/>
  <c r="G9" i="16"/>
  <c r="G10" i="16"/>
  <c r="J12" i="16"/>
  <c r="L12" i="16"/>
  <c r="F13" i="16"/>
  <c r="I13" i="16"/>
  <c r="J13" i="16"/>
  <c r="L13" i="16"/>
  <c r="N13" i="16"/>
  <c r="F14" i="16"/>
  <c r="G14" i="16"/>
  <c r="H14" i="16"/>
  <c r="I14" i="16"/>
  <c r="J14" i="16"/>
  <c r="K14" i="16"/>
  <c r="L14" i="16"/>
  <c r="N14" i="16"/>
  <c r="E15" i="16"/>
  <c r="F15" i="16"/>
  <c r="G15" i="16"/>
  <c r="H15" i="16"/>
  <c r="I15" i="16"/>
  <c r="J15" i="16"/>
  <c r="K15" i="16"/>
  <c r="L15" i="16"/>
  <c r="M15" i="16"/>
  <c r="N15" i="16"/>
  <c r="C16" i="16"/>
  <c r="E16" i="16"/>
  <c r="F16" i="16"/>
  <c r="G16" i="16"/>
  <c r="H16" i="16"/>
  <c r="I16" i="16"/>
  <c r="J16" i="16"/>
  <c r="K16" i="16"/>
  <c r="C17" i="16"/>
  <c r="E17" i="16"/>
  <c r="F17" i="16"/>
  <c r="G17" i="16"/>
  <c r="H17" i="16"/>
  <c r="I17" i="16"/>
  <c r="J17" i="16"/>
  <c r="K17" i="16"/>
  <c r="C18" i="16"/>
  <c r="E18" i="16"/>
  <c r="F18" i="16"/>
  <c r="G18" i="16"/>
  <c r="H18" i="16"/>
  <c r="I18" i="16"/>
  <c r="J18" i="16"/>
  <c r="K18" i="16"/>
  <c r="C19" i="16"/>
  <c r="E19" i="16"/>
  <c r="F19" i="16"/>
  <c r="G19" i="16"/>
  <c r="H19" i="16"/>
  <c r="I19" i="16"/>
  <c r="J19" i="16"/>
  <c r="K19" i="16"/>
  <c r="C20" i="16"/>
  <c r="E20" i="16"/>
  <c r="F20" i="16"/>
  <c r="G20" i="16"/>
  <c r="H20" i="16"/>
  <c r="I20" i="16"/>
  <c r="J20" i="16"/>
  <c r="K20" i="16"/>
  <c r="C21" i="16"/>
  <c r="E21" i="16"/>
  <c r="F21" i="16"/>
  <c r="G21" i="16"/>
  <c r="H21" i="16"/>
  <c r="I21" i="16"/>
  <c r="J21" i="16"/>
  <c r="K21" i="16"/>
  <c r="O21" i="16"/>
  <c r="P21" i="16"/>
  <c r="Q21" i="16"/>
  <c r="R21" i="16"/>
  <c r="C22" i="16"/>
  <c r="E22" i="16"/>
  <c r="F22" i="16"/>
  <c r="G22" i="16"/>
  <c r="H22" i="16"/>
  <c r="I22" i="16"/>
  <c r="J22" i="16"/>
  <c r="K22" i="16"/>
  <c r="C23" i="16"/>
  <c r="E23" i="16"/>
  <c r="F23" i="16"/>
  <c r="G23" i="16"/>
  <c r="H23" i="16"/>
  <c r="I23" i="16"/>
  <c r="J23" i="16"/>
  <c r="K23" i="16"/>
  <c r="C24" i="16"/>
  <c r="E24" i="16"/>
  <c r="F24" i="16"/>
  <c r="G24" i="16"/>
  <c r="H24" i="16"/>
  <c r="I24" i="16"/>
  <c r="J24" i="16"/>
  <c r="K24" i="16"/>
  <c r="C25" i="16"/>
  <c r="E25" i="16"/>
  <c r="F25" i="16"/>
  <c r="G25" i="16"/>
  <c r="H25" i="16"/>
  <c r="I25" i="16"/>
  <c r="J25" i="16"/>
  <c r="K25" i="16"/>
  <c r="C26" i="16"/>
  <c r="E26" i="16"/>
  <c r="F26" i="16"/>
  <c r="G26" i="16"/>
  <c r="H26" i="16"/>
  <c r="I26" i="16"/>
  <c r="J26" i="16"/>
  <c r="K26" i="16"/>
  <c r="C27" i="16"/>
  <c r="E27" i="16"/>
  <c r="F27" i="16"/>
  <c r="G27" i="16"/>
  <c r="H27" i="16"/>
  <c r="I27" i="16"/>
  <c r="J27" i="16"/>
  <c r="K27" i="16"/>
  <c r="C28" i="16"/>
  <c r="E28" i="16"/>
  <c r="F28" i="16"/>
  <c r="G28" i="16"/>
  <c r="H28" i="16"/>
  <c r="I28" i="16"/>
  <c r="J28" i="16"/>
  <c r="K28" i="16"/>
  <c r="E29" i="16"/>
  <c r="F29" i="16"/>
  <c r="G29" i="16"/>
  <c r="H29" i="16"/>
  <c r="I29" i="16"/>
  <c r="J29" i="16"/>
  <c r="K29" i="16"/>
  <c r="E30" i="16"/>
  <c r="I31" i="16"/>
  <c r="I32" i="16"/>
  <c r="J35" i="16"/>
  <c r="L36" i="16"/>
  <c r="J37" i="16"/>
  <c r="K37" i="16"/>
  <c r="L37" i="16"/>
  <c r="M37" i="16"/>
  <c r="J38" i="16"/>
  <c r="J39" i="16"/>
  <c r="J40" i="16"/>
  <c r="J41" i="16"/>
  <c r="J42" i="16"/>
  <c r="AL42" i="16"/>
  <c r="AG42" i="16" s="1"/>
  <c r="AM42" i="16"/>
  <c r="AF42" i="16" s="1"/>
  <c r="AS42" i="16"/>
  <c r="AT42" i="16"/>
  <c r="J43" i="16"/>
  <c r="AL43" i="16"/>
  <c r="J44" i="16"/>
  <c r="AL44" i="16"/>
  <c r="AG55" i="16" s="1"/>
  <c r="J45" i="16"/>
  <c r="AL45" i="16"/>
  <c r="AG54" i="16" s="1"/>
  <c r="J46" i="16"/>
  <c r="AL46" i="16"/>
  <c r="AG53" i="16" s="1"/>
  <c r="J47" i="16"/>
  <c r="AL47" i="16"/>
  <c r="AG52" i="16" s="1"/>
  <c r="J48" i="16"/>
  <c r="AL48" i="16"/>
  <c r="J49" i="16"/>
  <c r="AL49" i="16"/>
  <c r="AG50" i="16" s="1"/>
  <c r="J50" i="16"/>
  <c r="AL50" i="16"/>
  <c r="AG49" i="16" s="1"/>
  <c r="F51" i="16"/>
  <c r="J51" i="16"/>
  <c r="AG51" i="16"/>
  <c r="AL51" i="16"/>
  <c r="AG48" i="16" s="1"/>
  <c r="AL52" i="16"/>
  <c r="AG47" i="16" s="1"/>
  <c r="AL53" i="16"/>
  <c r="AG46" i="16" s="1"/>
  <c r="AL54" i="16"/>
  <c r="AG45" i="16" s="1"/>
  <c r="AL55" i="16"/>
  <c r="AG44" i="16" s="1"/>
  <c r="AG56" i="16"/>
  <c r="AL56" i="16"/>
  <c r="AG43" i="16" s="1"/>
  <c r="AO56" i="16"/>
  <c r="AP56" i="16"/>
  <c r="AQ60" i="16"/>
  <c r="AH61" i="16"/>
  <c r="AI61" i="16" s="1"/>
  <c r="AQ61" i="16"/>
  <c r="AH62" i="16"/>
  <c r="AI62" i="16" s="1"/>
  <c r="AQ62" i="16"/>
  <c r="AH63" i="16"/>
  <c r="AI63" i="16" s="1"/>
  <c r="AQ63" i="16"/>
  <c r="AH64" i="16"/>
  <c r="AI64" i="16" s="1"/>
  <c r="AQ64" i="16"/>
  <c r="Y65" i="16"/>
  <c r="AH65" i="16"/>
  <c r="AI65" i="16" s="1"/>
  <c r="AQ65" i="16"/>
  <c r="T66" i="16"/>
  <c r="U66" i="16"/>
  <c r="Y66" i="16"/>
  <c r="AH66" i="16"/>
  <c r="AH51" i="16" s="1"/>
  <c r="AQ66" i="16"/>
  <c r="T67" i="16"/>
  <c r="U67" i="16"/>
  <c r="Y67" i="16"/>
  <c r="AH67" i="16"/>
  <c r="AI67" i="16" s="1"/>
  <c r="T68" i="16"/>
  <c r="U68" i="16"/>
  <c r="Y68" i="16"/>
  <c r="AH68" i="16"/>
  <c r="AH49" i="16" s="1"/>
  <c r="AQ68" i="16"/>
  <c r="T69" i="16"/>
  <c r="T65" i="16" s="1"/>
  <c r="U69" i="16"/>
  <c r="U65" i="16" s="1"/>
  <c r="Y69" i="16"/>
  <c r="AH69" i="16"/>
  <c r="AI69" i="16" s="1"/>
  <c r="AQ69" i="16"/>
  <c r="Y70" i="16"/>
  <c r="AH70" i="16"/>
  <c r="AI70" i="16" s="1"/>
  <c r="AQ70" i="16"/>
  <c r="Y71" i="16"/>
  <c r="AH71" i="16"/>
  <c r="AI71" i="16" s="1"/>
  <c r="AQ71" i="16"/>
  <c r="Y72" i="16"/>
  <c r="AH72" i="16"/>
  <c r="AI72" i="16" s="1"/>
  <c r="AQ72" i="16"/>
  <c r="T73" i="16"/>
  <c r="U73" i="16"/>
  <c r="Y73" i="16"/>
  <c r="AH73" i="16"/>
  <c r="AI73" i="16" s="1"/>
  <c r="AQ73" i="16"/>
  <c r="T74" i="16"/>
  <c r="T80" i="16" s="1"/>
  <c r="Y74" i="16"/>
  <c r="Z74" i="16"/>
  <c r="AH74" i="16"/>
  <c r="AI74" i="16" s="1"/>
  <c r="AQ74" i="16"/>
  <c r="Y75" i="16"/>
  <c r="Z75" i="16"/>
  <c r="AQ75" i="16"/>
  <c r="T76" i="16"/>
  <c r="U76" i="16"/>
  <c r="Y76" i="16"/>
  <c r="Z76" i="16"/>
  <c r="AQ76" i="16"/>
  <c r="T77" i="16"/>
  <c r="T75" i="16" s="1"/>
  <c r="Y77" i="16"/>
  <c r="AQ77" i="16"/>
  <c r="AQ78" i="16"/>
  <c r="T79" i="16"/>
  <c r="U79" i="16"/>
  <c r="AQ79" i="16"/>
  <c r="AQ80" i="16"/>
  <c r="AQ81" i="16"/>
  <c r="AQ82" i="16"/>
  <c r="AA83" i="16"/>
  <c r="AA84" i="16" s="1"/>
  <c r="AA85" i="16" s="1"/>
  <c r="AA86" i="16" s="1"/>
  <c r="AA87" i="16" s="1"/>
  <c r="AQ83" i="16"/>
  <c r="T84" i="16"/>
  <c r="U84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I104" i="16"/>
  <c r="AQ104" i="16"/>
  <c r="I105" i="16"/>
  <c r="AQ105" i="16"/>
  <c r="I106" i="16"/>
  <c r="AQ106" i="16"/>
  <c r="I107" i="16"/>
  <c r="AQ107" i="16"/>
  <c r="I108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H131" i="16"/>
  <c r="AQ131" i="16"/>
  <c r="H132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P8" i="16"/>
  <c r="T81" i="16" l="1"/>
  <c r="T82" i="16" s="1"/>
  <c r="T86" i="16"/>
  <c r="T89" i="16" s="1"/>
  <c r="AI68" i="16"/>
  <c r="T87" i="16"/>
  <c r="T88" i="16" s="1"/>
  <c r="H9" i="16"/>
  <c r="O8" i="16"/>
  <c r="R8" i="16"/>
  <c r="U75" i="16"/>
  <c r="U77" i="16" s="1"/>
  <c r="U78" i="16" s="1"/>
  <c r="U74" i="16"/>
  <c r="I70" i="16"/>
  <c r="U80" i="16"/>
  <c r="U82" i="16" s="1"/>
  <c r="U81" i="16"/>
  <c r="T78" i="16"/>
  <c r="T83" i="16" s="1"/>
  <c r="AH43" i="16"/>
  <c r="AK56" i="16"/>
  <c r="AH44" i="16"/>
  <c r="AK55" i="16"/>
  <c r="AH45" i="16"/>
  <c r="AK54" i="16"/>
  <c r="AH46" i="16"/>
  <c r="AK53" i="16"/>
  <c r="AK52" i="16"/>
  <c r="AH47" i="16"/>
  <c r="AK46" i="16"/>
  <c r="AH48" i="16"/>
  <c r="AK51" i="16"/>
  <c r="AK49" i="16"/>
  <c r="AH50" i="16"/>
  <c r="AI66" i="16"/>
  <c r="AK44" i="16"/>
  <c r="AH55" i="16"/>
  <c r="AH53" i="16"/>
  <c r="AK50" i="16"/>
  <c r="AK48" i="16"/>
  <c r="AK47" i="16"/>
  <c r="AK45" i="16"/>
  <c r="AK43" i="16"/>
  <c r="AH56" i="16"/>
  <c r="AH54" i="16"/>
  <c r="AH52" i="16"/>
  <c r="U83" i="16" l="1"/>
  <c r="U88" i="16"/>
  <c r="AL60" i="16"/>
  <c r="AN60" i="16"/>
  <c r="AP60" i="16"/>
  <c r="AL61" i="16"/>
  <c r="AN61" i="16"/>
  <c r="AP61" i="16"/>
  <c r="AU61" i="16"/>
  <c r="AW61" i="16"/>
  <c r="AM62" i="16"/>
  <c r="AO62" i="16"/>
  <c r="AV62" i="16"/>
  <c r="AL63" i="16"/>
  <c r="AN63" i="16"/>
  <c r="AP63" i="16"/>
  <c r="AU63" i="16"/>
  <c r="AW63" i="16"/>
  <c r="AM64" i="16"/>
  <c r="AO64" i="16"/>
  <c r="AV64" i="16"/>
  <c r="AL65" i="16"/>
  <c r="AN65" i="16"/>
  <c r="AP65" i="16"/>
  <c r="AU65" i="16"/>
  <c r="AW65" i="16"/>
  <c r="AL66" i="16"/>
  <c r="AN66" i="16"/>
  <c r="AP66" i="16"/>
  <c r="AU66" i="16"/>
  <c r="AW66" i="16"/>
  <c r="AO60" i="16"/>
  <c r="AM61" i="16"/>
  <c r="AO61" i="16"/>
  <c r="AV61" i="16"/>
  <c r="AL62" i="16"/>
  <c r="AN62" i="16"/>
  <c r="AP62" i="16"/>
  <c r="AU62" i="16"/>
  <c r="AW62" i="16"/>
  <c r="AM63" i="16"/>
  <c r="AO63" i="16"/>
  <c r="AV63" i="16"/>
  <c r="AL64" i="16"/>
  <c r="AN64" i="16"/>
  <c r="AP64" i="16"/>
  <c r="AU64" i="16"/>
  <c r="AW64" i="16"/>
  <c r="AM65" i="16"/>
  <c r="AO65" i="16"/>
  <c r="AV65" i="16"/>
  <c r="AM66" i="16"/>
  <c r="AO66" i="16"/>
  <c r="AV66" i="16"/>
  <c r="AL67" i="16"/>
  <c r="AL68" i="16"/>
  <c r="AM68" i="16"/>
  <c r="AO68" i="16"/>
  <c r="AV68" i="16"/>
  <c r="AL69" i="16"/>
  <c r="AN69" i="16"/>
  <c r="AP69" i="16"/>
  <c r="AU69" i="16"/>
  <c r="AW69" i="16"/>
  <c r="AM71" i="16"/>
  <c r="AO71" i="16"/>
  <c r="AV71" i="16"/>
  <c r="AM72" i="16"/>
  <c r="AO72" i="16"/>
  <c r="AV72" i="16"/>
  <c r="AM74" i="16"/>
  <c r="AO74" i="16"/>
  <c r="AV74" i="16"/>
  <c r="AM75" i="16"/>
  <c r="AO75" i="16"/>
  <c r="AV75" i="16"/>
  <c r="AM76" i="16"/>
  <c r="AO76" i="16"/>
  <c r="AV76" i="16"/>
  <c r="AL77" i="16"/>
  <c r="AN77" i="16"/>
  <c r="AP77" i="16"/>
  <c r="AU77" i="16"/>
  <c r="AW77" i="16"/>
  <c r="AL79" i="16"/>
  <c r="AN79" i="16"/>
  <c r="AP79" i="16"/>
  <c r="AU79" i="16"/>
  <c r="AW79" i="16"/>
  <c r="AM80" i="16"/>
  <c r="AO80" i="16"/>
  <c r="AV80" i="16"/>
  <c r="AL81" i="16"/>
  <c r="AN81" i="16"/>
  <c r="AP81" i="16"/>
  <c r="AU81" i="16"/>
  <c r="AW81" i="16"/>
  <c r="AM82" i="16"/>
  <c r="AO82" i="16"/>
  <c r="AV82" i="16"/>
  <c r="AM83" i="16"/>
  <c r="AO83" i="16"/>
  <c r="AV83" i="16"/>
  <c r="AL85" i="16"/>
  <c r="AN85" i="16"/>
  <c r="AP85" i="16"/>
  <c r="AU85" i="16"/>
  <c r="AW85" i="16"/>
  <c r="AM86" i="16"/>
  <c r="AO86" i="16"/>
  <c r="AV86" i="16"/>
  <c r="AM87" i="16"/>
  <c r="AO87" i="16"/>
  <c r="AV87" i="16"/>
  <c r="AM88" i="16"/>
  <c r="AO88" i="16"/>
  <c r="AV88" i="16"/>
  <c r="AM89" i="16"/>
  <c r="AO89" i="16"/>
  <c r="AV89" i="16"/>
  <c r="AM90" i="16"/>
  <c r="AO90" i="16"/>
  <c r="AV90" i="16"/>
  <c r="AM91" i="16"/>
  <c r="AO91" i="16"/>
  <c r="AV91" i="16"/>
  <c r="AL92" i="16"/>
  <c r="AN92" i="16"/>
  <c r="AP92" i="16"/>
  <c r="AU92" i="16"/>
  <c r="AW92" i="16"/>
  <c r="AM94" i="16"/>
  <c r="AO94" i="16"/>
  <c r="AV94" i="16"/>
  <c r="AM95" i="16"/>
  <c r="AO95" i="16"/>
  <c r="AV95" i="16"/>
  <c r="AL96" i="16"/>
  <c r="AN96" i="16"/>
  <c r="AP96" i="16"/>
  <c r="AU96" i="16"/>
  <c r="AW96" i="16"/>
  <c r="AL97" i="16"/>
  <c r="AN97" i="16"/>
  <c r="AN68" i="16"/>
  <c r="AP68" i="16"/>
  <c r="AU68" i="16"/>
  <c r="AW68" i="16"/>
  <c r="AM69" i="16"/>
  <c r="AO69" i="16"/>
  <c r="AV69" i="16"/>
  <c r="AL70" i="16"/>
  <c r="AL71" i="16"/>
  <c r="AN71" i="16"/>
  <c r="AP71" i="16"/>
  <c r="AU71" i="16"/>
  <c r="AW71" i="16"/>
  <c r="AL72" i="16"/>
  <c r="AN72" i="16"/>
  <c r="AP72" i="16"/>
  <c r="AU72" i="16"/>
  <c r="AW72" i="16"/>
  <c r="AL73" i="16"/>
  <c r="AL74" i="16"/>
  <c r="AN74" i="16"/>
  <c r="AP74" i="16"/>
  <c r="AU74" i="16"/>
  <c r="AW74" i="16"/>
  <c r="AL75" i="16"/>
  <c r="AN75" i="16"/>
  <c r="AP75" i="16"/>
  <c r="AU75" i="16"/>
  <c r="AW75" i="16"/>
  <c r="AL76" i="16"/>
  <c r="AN76" i="16"/>
  <c r="AP76" i="16"/>
  <c r="AU76" i="16"/>
  <c r="AW76" i="16"/>
  <c r="AM77" i="16"/>
  <c r="AO77" i="16"/>
  <c r="AV77" i="16"/>
  <c r="AL78" i="16"/>
  <c r="AM79" i="16"/>
  <c r="AO79" i="16"/>
  <c r="AV79" i="16"/>
  <c r="AL80" i="16"/>
  <c r="AN80" i="16"/>
  <c r="AP80" i="16"/>
  <c r="AU80" i="16"/>
  <c r="AW80" i="16"/>
  <c r="AM81" i="16"/>
  <c r="AO81" i="16"/>
  <c r="AV81" i="16"/>
  <c r="AL82" i="16"/>
  <c r="AN82" i="16"/>
  <c r="AP82" i="16"/>
  <c r="AU82" i="16"/>
  <c r="AW82" i="16"/>
  <c r="AL83" i="16"/>
  <c r="AN83" i="16"/>
  <c r="AP83" i="16"/>
  <c r="AU83" i="16"/>
  <c r="AW83" i="16"/>
  <c r="AL84" i="16"/>
  <c r="AM85" i="16"/>
  <c r="AO85" i="16"/>
  <c r="AV85" i="16"/>
  <c r="AL86" i="16"/>
  <c r="AN86" i="16"/>
  <c r="AP86" i="16"/>
  <c r="AU86" i="16"/>
  <c r="AW86" i="16"/>
  <c r="AL87" i="16"/>
  <c r="AN87" i="16"/>
  <c r="AP87" i="16"/>
  <c r="AU87" i="16"/>
  <c r="AW87" i="16"/>
  <c r="AL88" i="16"/>
  <c r="AN88" i="16"/>
  <c r="AP88" i="16"/>
  <c r="AU88" i="16"/>
  <c r="AW88" i="16"/>
  <c r="AL89" i="16"/>
  <c r="AN89" i="16"/>
  <c r="AP89" i="16"/>
  <c r="AU89" i="16"/>
  <c r="AW89" i="16"/>
  <c r="AL90" i="16"/>
  <c r="AN90" i="16"/>
  <c r="AP90" i="16"/>
  <c r="AU90" i="16"/>
  <c r="AW90" i="16"/>
  <c r="AL91" i="16"/>
  <c r="AN91" i="16"/>
  <c r="AP91" i="16"/>
  <c r="AU91" i="16"/>
  <c r="AW91" i="16"/>
  <c r="AM92" i="16"/>
  <c r="AO92" i="16"/>
  <c r="AV92" i="16"/>
  <c r="AL93" i="16"/>
  <c r="AL94" i="16"/>
  <c r="AN94" i="16"/>
  <c r="AP94" i="16"/>
  <c r="AU94" i="16"/>
  <c r="AW94" i="16"/>
  <c r="AL95" i="16"/>
  <c r="AN95" i="16"/>
  <c r="AP95" i="16"/>
  <c r="AU95" i="16"/>
  <c r="AW95" i="16"/>
  <c r="AM96" i="16"/>
  <c r="AO96" i="16"/>
  <c r="AV96" i="16"/>
  <c r="AM97" i="16"/>
  <c r="AO97" i="16"/>
  <c r="AV97" i="16"/>
  <c r="AM98" i="16"/>
  <c r="AO98" i="16"/>
  <c r="AV98" i="16"/>
  <c r="AL99" i="16"/>
  <c r="AN99" i="16"/>
  <c r="AW97" i="16"/>
  <c r="AL98" i="16"/>
  <c r="AP98" i="16"/>
  <c r="AU98" i="16"/>
  <c r="AM99" i="16"/>
  <c r="AP99" i="16"/>
  <c r="AU99" i="16"/>
  <c r="AW99" i="16"/>
  <c r="AL100" i="16"/>
  <c r="AN100" i="16"/>
  <c r="AP100" i="16"/>
  <c r="AU100" i="16"/>
  <c r="AW100" i="16"/>
  <c r="AL101" i="16"/>
  <c r="AN101" i="16"/>
  <c r="AP101" i="16"/>
  <c r="AU101" i="16"/>
  <c r="AW101" i="16"/>
  <c r="AL102" i="16"/>
  <c r="AN102" i="16"/>
  <c r="AP102" i="16"/>
  <c r="AU102" i="16"/>
  <c r="AW102" i="16"/>
  <c r="AM103" i="16"/>
  <c r="AO103" i="16"/>
  <c r="AV103" i="16"/>
  <c r="AL104" i="16"/>
  <c r="AN104" i="16"/>
  <c r="AP104" i="16"/>
  <c r="AU104" i="16"/>
  <c r="AW104" i="16"/>
  <c r="AL106" i="16"/>
  <c r="AN106" i="16"/>
  <c r="AP106" i="16"/>
  <c r="AU106" i="16"/>
  <c r="AW106" i="16"/>
  <c r="AM107" i="16"/>
  <c r="AO107" i="16"/>
  <c r="AV107" i="16"/>
  <c r="AL108" i="16"/>
  <c r="AN108" i="16"/>
  <c r="AP108" i="16"/>
  <c r="AU108" i="16"/>
  <c r="AW108" i="16"/>
  <c r="AL109" i="16"/>
  <c r="AN109" i="16"/>
  <c r="AP109" i="16"/>
  <c r="AU109" i="16"/>
  <c r="AW109" i="16"/>
  <c r="AM110" i="16"/>
  <c r="AO110" i="16"/>
  <c r="AV110" i="16"/>
  <c r="AL111" i="16"/>
  <c r="AN111" i="16"/>
  <c r="AP111" i="16"/>
  <c r="AU111" i="16"/>
  <c r="AW111" i="16"/>
  <c r="AM112" i="16"/>
  <c r="AO112" i="16"/>
  <c r="AV112" i="16"/>
  <c r="AL113" i="16"/>
  <c r="AN113" i="16"/>
  <c r="AP113" i="16"/>
  <c r="AU113" i="16"/>
  <c r="AW113" i="16"/>
  <c r="AM114" i="16"/>
  <c r="AO114" i="16"/>
  <c r="AV114" i="16"/>
  <c r="AL115" i="16"/>
  <c r="AN115" i="16"/>
  <c r="AP115" i="16"/>
  <c r="AU115" i="16"/>
  <c r="AW115" i="16"/>
  <c r="AM116" i="16"/>
  <c r="AO116" i="16"/>
  <c r="AV116" i="16"/>
  <c r="AL117" i="16"/>
  <c r="AN117" i="16"/>
  <c r="AP117" i="16"/>
  <c r="AU117" i="16"/>
  <c r="AW117" i="16"/>
  <c r="AL118" i="16"/>
  <c r="AN118" i="16"/>
  <c r="AP118" i="16"/>
  <c r="AU118" i="16"/>
  <c r="AW118" i="16"/>
  <c r="AL119" i="16"/>
  <c r="AN119" i="16"/>
  <c r="AP119" i="16"/>
  <c r="AU119" i="16"/>
  <c r="AW119" i="16"/>
  <c r="AM120" i="16"/>
  <c r="AO120" i="16"/>
  <c r="AV120" i="16"/>
  <c r="AL121" i="16"/>
  <c r="AN121" i="16"/>
  <c r="AP121" i="16"/>
  <c r="AU121" i="16"/>
  <c r="AW121" i="16"/>
  <c r="AL123" i="16"/>
  <c r="AN123" i="16"/>
  <c r="AP123" i="16"/>
  <c r="AU123" i="16"/>
  <c r="AW123" i="16"/>
  <c r="AM124" i="16"/>
  <c r="AO124" i="16"/>
  <c r="AV124" i="16"/>
  <c r="AL125" i="16"/>
  <c r="AN125" i="16"/>
  <c r="AP125" i="16"/>
  <c r="AU125" i="16"/>
  <c r="AW125" i="16"/>
  <c r="AM126" i="16"/>
  <c r="AO126" i="16"/>
  <c r="AV126" i="16"/>
  <c r="AM127" i="16"/>
  <c r="AO127" i="16"/>
  <c r="AV127" i="16"/>
  <c r="AM128" i="16"/>
  <c r="AO128" i="16"/>
  <c r="AV128" i="16"/>
  <c r="AL129" i="16"/>
  <c r="AN129" i="16"/>
  <c r="AP129" i="16"/>
  <c r="AU129" i="16"/>
  <c r="AW129" i="16"/>
  <c r="AL131" i="16"/>
  <c r="AN131" i="16"/>
  <c r="AP131" i="16"/>
  <c r="AU131" i="16"/>
  <c r="AW131" i="16"/>
  <c r="AM132" i="16"/>
  <c r="AO132" i="16"/>
  <c r="AV132" i="16"/>
  <c r="AM133" i="16"/>
  <c r="AO133" i="16"/>
  <c r="AV133" i="16"/>
  <c r="AL134" i="16"/>
  <c r="AN134" i="16"/>
  <c r="AP134" i="16"/>
  <c r="AU134" i="16"/>
  <c r="AW134" i="16"/>
  <c r="AM135" i="16"/>
  <c r="AO135" i="16"/>
  <c r="AV135" i="16"/>
  <c r="AL136" i="16"/>
  <c r="AN136" i="16"/>
  <c r="AP136" i="16"/>
  <c r="AU136" i="16"/>
  <c r="AW136" i="16"/>
  <c r="AM137" i="16"/>
  <c r="AO137" i="16"/>
  <c r="AV137" i="16"/>
  <c r="AL138" i="16"/>
  <c r="AN138" i="16"/>
  <c r="AP97" i="16"/>
  <c r="AU97" i="16"/>
  <c r="AN98" i="16"/>
  <c r="AW98" i="16"/>
  <c r="AO99" i="16"/>
  <c r="AV99" i="16"/>
  <c r="AM100" i="16"/>
  <c r="AO100" i="16"/>
  <c r="AV100" i="16"/>
  <c r="AM101" i="16"/>
  <c r="AO101" i="16"/>
  <c r="AV101" i="16"/>
  <c r="AM102" i="16"/>
  <c r="AO102" i="16"/>
  <c r="AV102" i="16"/>
  <c r="AL103" i="16"/>
  <c r="AN103" i="16"/>
  <c r="AP103" i="16"/>
  <c r="AU103" i="16"/>
  <c r="AW103" i="16"/>
  <c r="AM104" i="16"/>
  <c r="AO104" i="16"/>
  <c r="AV104" i="16"/>
  <c r="AL105" i="16"/>
  <c r="AM106" i="16"/>
  <c r="AO106" i="16"/>
  <c r="AV106" i="16"/>
  <c r="AL107" i="16"/>
  <c r="AN107" i="16"/>
  <c r="AP107" i="16"/>
  <c r="AU107" i="16"/>
  <c r="AW107" i="16"/>
  <c r="AM108" i="16"/>
  <c r="AO108" i="16"/>
  <c r="AV108" i="16"/>
  <c r="AM109" i="16"/>
  <c r="AO109" i="16"/>
  <c r="AV109" i="16"/>
  <c r="AL110" i="16"/>
  <c r="AN110" i="16"/>
  <c r="AP110" i="16"/>
  <c r="AU110" i="16"/>
  <c r="AW110" i="16"/>
  <c r="AM111" i="16"/>
  <c r="AO111" i="16"/>
  <c r="AV111" i="16"/>
  <c r="AL112" i="16"/>
  <c r="AN112" i="16"/>
  <c r="AP112" i="16"/>
  <c r="AU112" i="16"/>
  <c r="AW112" i="16"/>
  <c r="AM113" i="16"/>
  <c r="AO113" i="16"/>
  <c r="AV113" i="16"/>
  <c r="AL114" i="16"/>
  <c r="AN114" i="16"/>
  <c r="AP114" i="16"/>
  <c r="AU114" i="16"/>
  <c r="AW114" i="16"/>
  <c r="AM115" i="16"/>
  <c r="AO115" i="16"/>
  <c r="AV115" i="16"/>
  <c r="AL116" i="16"/>
  <c r="AN116" i="16"/>
  <c r="AP116" i="16"/>
  <c r="AU116" i="16"/>
  <c r="AW116" i="16"/>
  <c r="AM117" i="16"/>
  <c r="AO117" i="16"/>
  <c r="AV117" i="16"/>
  <c r="AM118" i="16"/>
  <c r="AO118" i="16"/>
  <c r="AV118" i="16"/>
  <c r="AM119" i="16"/>
  <c r="AO119" i="16"/>
  <c r="AV119" i="16"/>
  <c r="AL120" i="16"/>
  <c r="AN120" i="16"/>
  <c r="AP120" i="16"/>
  <c r="AU120" i="16"/>
  <c r="AW120" i="16"/>
  <c r="AM121" i="16"/>
  <c r="AO121" i="16"/>
  <c r="AV121" i="16"/>
  <c r="AL122" i="16"/>
  <c r="AM123" i="16"/>
  <c r="AO123" i="16"/>
  <c r="AV123" i="16"/>
  <c r="AL124" i="16"/>
  <c r="AN124" i="16"/>
  <c r="AP124" i="16"/>
  <c r="AU124" i="16"/>
  <c r="AW124" i="16"/>
  <c r="AM125" i="16"/>
  <c r="AO125" i="16"/>
  <c r="AV125" i="16"/>
  <c r="AL126" i="16"/>
  <c r="AN126" i="16"/>
  <c r="AP126" i="16"/>
  <c r="AU126" i="16"/>
  <c r="AW126" i="16"/>
  <c r="AL127" i="16"/>
  <c r="AN127" i="16"/>
  <c r="AP127" i="16"/>
  <c r="AU127" i="16"/>
  <c r="AW127" i="16"/>
  <c r="AL128" i="16"/>
  <c r="AN128" i="16"/>
  <c r="AP128" i="16"/>
  <c r="AU128" i="16"/>
  <c r="AW128" i="16"/>
  <c r="AM129" i="16"/>
  <c r="AO129" i="16"/>
  <c r="AV129" i="16"/>
  <c r="AL130" i="16"/>
  <c r="AM131" i="16"/>
  <c r="AO131" i="16"/>
  <c r="AV131" i="16"/>
  <c r="AL132" i="16"/>
  <c r="AN132" i="16"/>
  <c r="AP132" i="16"/>
  <c r="AU132" i="16"/>
  <c r="AW132" i="16"/>
  <c r="AL133" i="16"/>
  <c r="AN133" i="16"/>
  <c r="AP133" i="16"/>
  <c r="AU133" i="16"/>
  <c r="AW133" i="16"/>
  <c r="AM134" i="16"/>
  <c r="AO134" i="16"/>
  <c r="AV134" i="16"/>
  <c r="AL135" i="16"/>
  <c r="AN135" i="16"/>
  <c r="AP135" i="16"/>
  <c r="AU135" i="16"/>
  <c r="AW135" i="16"/>
  <c r="AM136" i="16"/>
  <c r="AO136" i="16"/>
  <c r="AV136" i="16"/>
  <c r="AN137" i="16"/>
  <c r="AW137" i="16"/>
  <c r="AO138" i="16"/>
  <c r="AV138" i="16"/>
  <c r="AL139" i="16"/>
  <c r="AN139" i="16"/>
  <c r="AP139" i="16"/>
  <c r="AU139" i="16"/>
  <c r="AW139" i="16"/>
  <c r="AM140" i="16"/>
  <c r="AO140" i="16"/>
  <c r="AV140" i="16"/>
  <c r="AL141" i="16"/>
  <c r="AN141" i="16"/>
  <c r="AP141" i="16"/>
  <c r="AU141" i="16"/>
  <c r="AW141" i="16"/>
  <c r="AM142" i="16"/>
  <c r="AO142" i="16"/>
  <c r="AV142" i="16"/>
  <c r="AL143" i="16"/>
  <c r="AN143" i="16"/>
  <c r="AP143" i="16"/>
  <c r="AU143" i="16"/>
  <c r="AW143" i="16"/>
  <c r="AL145" i="16"/>
  <c r="AN145" i="16"/>
  <c r="AP145" i="16"/>
  <c r="AU145" i="16"/>
  <c r="AW145" i="16"/>
  <c r="AM146" i="16"/>
  <c r="AO146" i="16"/>
  <c r="AV146" i="16"/>
  <c r="AL147" i="16"/>
  <c r="AN147" i="16"/>
  <c r="AP147" i="16"/>
  <c r="AU147" i="16"/>
  <c r="AW147" i="16"/>
  <c r="AM148" i="16"/>
  <c r="AO148" i="16"/>
  <c r="AV148" i="16"/>
  <c r="AL149" i="16"/>
  <c r="AN149" i="16"/>
  <c r="AP149" i="16"/>
  <c r="AU149" i="16"/>
  <c r="AW149" i="16"/>
  <c r="AM150" i="16"/>
  <c r="AO150" i="16"/>
  <c r="AV150" i="16"/>
  <c r="AL151" i="16"/>
  <c r="AN151" i="16"/>
  <c r="AP151" i="16"/>
  <c r="AU151" i="16"/>
  <c r="AW151" i="16"/>
  <c r="AM152" i="16"/>
  <c r="AO152" i="16"/>
  <c r="AV152" i="16"/>
  <c r="AL153" i="16"/>
  <c r="AN153" i="16"/>
  <c r="AP153" i="16"/>
  <c r="AU153" i="16"/>
  <c r="AW153" i="16"/>
  <c r="AM154" i="16"/>
  <c r="AO154" i="16"/>
  <c r="AV154" i="16"/>
  <c r="AL155" i="16"/>
  <c r="AN155" i="16"/>
  <c r="AP155" i="16"/>
  <c r="AU155" i="16"/>
  <c r="AW155" i="16"/>
  <c r="AL157" i="16"/>
  <c r="AN157" i="16"/>
  <c r="AP157" i="16"/>
  <c r="AU157" i="16"/>
  <c r="AW157" i="16"/>
  <c r="AM158" i="16"/>
  <c r="AO158" i="16"/>
  <c r="AV158" i="16"/>
  <c r="AL159" i="16"/>
  <c r="AN159" i="16"/>
  <c r="AP159" i="16"/>
  <c r="AU159" i="16"/>
  <c r="AW159" i="16"/>
  <c r="AM160" i="16"/>
  <c r="AO160" i="16"/>
  <c r="AV160" i="16"/>
  <c r="AL161" i="16"/>
  <c r="AN161" i="16"/>
  <c r="AP161" i="16"/>
  <c r="AU161" i="16"/>
  <c r="AW161" i="16"/>
  <c r="AM162" i="16"/>
  <c r="AO162" i="16"/>
  <c r="AV162" i="16"/>
  <c r="AL163" i="16"/>
  <c r="AN163" i="16"/>
  <c r="AP163" i="16"/>
  <c r="AU163" i="16"/>
  <c r="AW163" i="16"/>
  <c r="AM164" i="16"/>
  <c r="AO164" i="16"/>
  <c r="AV164" i="16"/>
  <c r="AL165" i="16"/>
  <c r="AN165" i="16"/>
  <c r="AP165" i="16"/>
  <c r="AU165" i="16"/>
  <c r="AW165" i="16"/>
  <c r="AM166" i="16"/>
  <c r="AO166" i="16"/>
  <c r="AV166" i="16"/>
  <c r="AL167" i="16"/>
  <c r="AN167" i="16"/>
  <c r="AP167" i="16"/>
  <c r="AU167" i="16"/>
  <c r="AW167" i="16"/>
  <c r="AM168" i="16"/>
  <c r="AO168" i="16"/>
  <c r="AV168" i="16"/>
  <c r="AL169" i="16"/>
  <c r="AN169" i="16"/>
  <c r="AP169" i="16"/>
  <c r="AU169" i="16"/>
  <c r="AW169" i="16"/>
  <c r="AM170" i="16"/>
  <c r="AO170" i="16"/>
  <c r="AV170" i="16"/>
  <c r="AL171" i="16"/>
  <c r="AN171" i="16"/>
  <c r="AP171" i="16"/>
  <c r="AU171" i="16"/>
  <c r="AW171" i="16"/>
  <c r="AM172" i="16"/>
  <c r="AO172" i="16"/>
  <c r="AV172" i="16"/>
  <c r="AL173" i="16"/>
  <c r="AN173" i="16"/>
  <c r="AP173" i="16"/>
  <c r="AU173" i="16"/>
  <c r="AW173" i="16"/>
  <c r="AM174" i="16"/>
  <c r="AO174" i="16"/>
  <c r="AV174" i="16"/>
  <c r="AL175" i="16"/>
  <c r="AM176" i="16"/>
  <c r="AO176" i="16"/>
  <c r="AV176" i="16"/>
  <c r="AL177" i="16"/>
  <c r="AN177" i="16"/>
  <c r="AP177" i="16"/>
  <c r="AU177" i="16"/>
  <c r="AW177" i="16"/>
  <c r="AM178" i="16"/>
  <c r="AO178" i="16"/>
  <c r="AV178" i="16"/>
  <c r="AL179" i="16"/>
  <c r="AN179" i="16"/>
  <c r="AP179" i="16"/>
  <c r="AU179" i="16"/>
  <c r="AW179" i="16"/>
  <c r="AM180" i="16"/>
  <c r="AO180" i="16"/>
  <c r="AV180" i="16"/>
  <c r="AL181" i="16"/>
  <c r="AN181" i="16"/>
  <c r="AP181" i="16"/>
  <c r="AU181" i="16"/>
  <c r="AW181" i="16"/>
  <c r="AM182" i="16"/>
  <c r="AO182" i="16"/>
  <c r="AV182" i="16"/>
  <c r="AL183" i="16"/>
  <c r="AN183" i="16"/>
  <c r="AP183" i="16"/>
  <c r="AU183" i="16"/>
  <c r="AW183" i="16"/>
  <c r="AM184" i="16"/>
  <c r="AO184" i="16"/>
  <c r="AV184" i="16"/>
  <c r="AL185" i="16"/>
  <c r="AN185" i="16"/>
  <c r="AP185" i="16"/>
  <c r="AU185" i="16"/>
  <c r="AW185" i="16"/>
  <c r="AM186" i="16"/>
  <c r="AO186" i="16"/>
  <c r="AV186" i="16"/>
  <c r="AL187" i="16"/>
  <c r="AN187" i="16"/>
  <c r="AP187" i="16"/>
  <c r="AU187" i="16"/>
  <c r="AW187" i="16"/>
  <c r="AM188" i="16"/>
  <c r="AO188" i="16"/>
  <c r="AV188" i="16"/>
  <c r="AL189" i="16"/>
  <c r="AN189" i="16"/>
  <c r="AP189" i="16"/>
  <c r="AU189" i="16"/>
  <c r="AW189" i="16"/>
  <c r="AM190" i="16"/>
  <c r="AO190" i="16"/>
  <c r="AV190" i="16"/>
  <c r="AL191" i="16"/>
  <c r="AM192" i="16"/>
  <c r="AO192" i="16"/>
  <c r="AV192" i="16"/>
  <c r="AL193" i="16"/>
  <c r="AN193" i="16"/>
  <c r="AP193" i="16"/>
  <c r="AU193" i="16"/>
  <c r="AW193" i="16"/>
  <c r="AM194" i="16"/>
  <c r="AO194" i="16"/>
  <c r="AV194" i="16"/>
  <c r="AL195" i="16"/>
  <c r="AN195" i="16"/>
  <c r="AP195" i="16"/>
  <c r="AU195" i="16"/>
  <c r="AW195" i="16"/>
  <c r="AM196" i="16"/>
  <c r="AO196" i="16"/>
  <c r="AV196" i="16"/>
  <c r="AL197" i="16"/>
  <c r="AN197" i="16"/>
  <c r="AP197" i="16"/>
  <c r="AU197" i="16"/>
  <c r="AW197" i="16"/>
  <c r="AM198" i="16"/>
  <c r="AO198" i="16"/>
  <c r="AV198" i="16"/>
  <c r="AL137" i="16"/>
  <c r="AP137" i="16"/>
  <c r="AU137" i="16"/>
  <c r="AM138" i="16"/>
  <c r="AP138" i="16"/>
  <c r="AU138" i="16"/>
  <c r="AW138" i="16"/>
  <c r="AM139" i="16"/>
  <c r="AO139" i="16"/>
  <c r="AV139" i="16"/>
  <c r="AL140" i="16"/>
  <c r="AN140" i="16"/>
  <c r="AP140" i="16"/>
  <c r="AU140" i="16"/>
  <c r="AW140" i="16"/>
  <c r="AM141" i="16"/>
  <c r="AO141" i="16"/>
  <c r="AV141" i="16"/>
  <c r="AL142" i="16"/>
  <c r="AN142" i="16"/>
  <c r="AP142" i="16"/>
  <c r="AU142" i="16"/>
  <c r="AW142" i="16"/>
  <c r="AM143" i="16"/>
  <c r="AO143" i="16"/>
  <c r="AV143" i="16"/>
  <c r="AL144" i="16"/>
  <c r="AM145" i="16"/>
  <c r="AO145" i="16"/>
  <c r="AV145" i="16"/>
  <c r="AL146" i="16"/>
  <c r="AN146" i="16"/>
  <c r="AP146" i="16"/>
  <c r="AU146" i="16"/>
  <c r="AW146" i="16"/>
  <c r="AM147" i="16"/>
  <c r="AO147" i="16"/>
  <c r="AV147" i="16"/>
  <c r="AL148" i="16"/>
  <c r="AN148" i="16"/>
  <c r="AP148" i="16"/>
  <c r="AU148" i="16"/>
  <c r="AW148" i="16"/>
  <c r="AM149" i="16"/>
  <c r="AO149" i="16"/>
  <c r="AV149" i="16"/>
  <c r="AL150" i="16"/>
  <c r="AN150" i="16"/>
  <c r="AP150" i="16"/>
  <c r="AU150" i="16"/>
  <c r="AW150" i="16"/>
  <c r="AM151" i="16"/>
  <c r="AO151" i="16"/>
  <c r="AV151" i="16"/>
  <c r="AL152" i="16"/>
  <c r="AN152" i="16"/>
  <c r="AP152" i="16"/>
  <c r="AU152" i="16"/>
  <c r="AW152" i="16"/>
  <c r="AM153" i="16"/>
  <c r="AO153" i="16"/>
  <c r="AV153" i="16"/>
  <c r="AL154" i="16"/>
  <c r="AN154" i="16"/>
  <c r="AP154" i="16"/>
  <c r="AU154" i="16"/>
  <c r="AW154" i="16"/>
  <c r="AM155" i="16"/>
  <c r="AO155" i="16"/>
  <c r="AV155" i="16"/>
  <c r="AL156" i="16"/>
  <c r="AM157" i="16"/>
  <c r="AO157" i="16"/>
  <c r="AV157" i="16"/>
  <c r="AL158" i="16"/>
  <c r="AN158" i="16"/>
  <c r="AP158" i="16"/>
  <c r="AU158" i="16"/>
  <c r="AW158" i="16"/>
  <c r="AM159" i="16"/>
  <c r="AO159" i="16"/>
  <c r="AV159" i="16"/>
  <c r="AL160" i="16"/>
  <c r="AN160" i="16"/>
  <c r="AP160" i="16"/>
  <c r="AU160" i="16"/>
  <c r="AW160" i="16"/>
  <c r="AM161" i="16"/>
  <c r="AO161" i="16"/>
  <c r="AV161" i="16"/>
  <c r="AL162" i="16"/>
  <c r="AN162" i="16"/>
  <c r="AP162" i="16"/>
  <c r="AU162" i="16"/>
  <c r="AW162" i="16"/>
  <c r="AM163" i="16"/>
  <c r="AO163" i="16"/>
  <c r="AV163" i="16"/>
  <c r="AL164" i="16"/>
  <c r="AN164" i="16"/>
  <c r="AP164" i="16"/>
  <c r="AU164" i="16"/>
  <c r="AW164" i="16"/>
  <c r="AM165" i="16"/>
  <c r="AO165" i="16"/>
  <c r="AV165" i="16"/>
  <c r="AL166" i="16"/>
  <c r="AN166" i="16"/>
  <c r="AP166" i="16"/>
  <c r="AU166" i="16"/>
  <c r="AW166" i="16"/>
  <c r="AM167" i="16"/>
  <c r="AO167" i="16"/>
  <c r="AV167" i="16"/>
  <c r="AL168" i="16"/>
  <c r="AN168" i="16"/>
  <c r="AP168" i="16"/>
  <c r="AU168" i="16"/>
  <c r="AW168" i="16"/>
  <c r="AM169" i="16"/>
  <c r="AO169" i="16"/>
  <c r="AV169" i="16"/>
  <c r="AL170" i="16"/>
  <c r="AN170" i="16"/>
  <c r="AP170" i="16"/>
  <c r="AU170" i="16"/>
  <c r="AW170" i="16"/>
  <c r="AM171" i="16"/>
  <c r="AO171" i="16"/>
  <c r="AV171" i="16"/>
  <c r="AL172" i="16"/>
  <c r="AN172" i="16"/>
  <c r="AP172" i="16"/>
  <c r="AU172" i="16"/>
  <c r="AW172" i="16"/>
  <c r="AM173" i="16"/>
  <c r="AO173" i="16"/>
  <c r="AV173" i="16"/>
  <c r="AL174" i="16"/>
  <c r="AN174" i="16"/>
  <c r="AP174" i="16"/>
  <c r="AU174" i="16"/>
  <c r="AW174" i="16"/>
  <c r="AL176" i="16"/>
  <c r="AN176" i="16"/>
  <c r="AP176" i="16"/>
  <c r="AU176" i="16"/>
  <c r="AW176" i="16"/>
  <c r="AM177" i="16"/>
  <c r="AO177" i="16"/>
  <c r="AV177" i="16"/>
  <c r="AL178" i="16"/>
  <c r="AN178" i="16"/>
  <c r="AP178" i="16"/>
  <c r="AU178" i="16"/>
  <c r="AW178" i="16"/>
  <c r="AM179" i="16"/>
  <c r="AO179" i="16"/>
  <c r="AV179" i="16"/>
  <c r="AL180" i="16"/>
  <c r="AN180" i="16"/>
  <c r="AP180" i="16"/>
  <c r="AU180" i="16"/>
  <c r="AW180" i="16"/>
  <c r="AM181" i="16"/>
  <c r="AO181" i="16"/>
  <c r="AV181" i="16"/>
  <c r="AL182" i="16"/>
  <c r="AN182" i="16"/>
  <c r="AP182" i="16"/>
  <c r="AU182" i="16"/>
  <c r="AW182" i="16"/>
  <c r="AM183" i="16"/>
  <c r="AO183" i="16"/>
  <c r="AV183" i="16"/>
  <c r="AL184" i="16"/>
  <c r="AN184" i="16"/>
  <c r="AP184" i="16"/>
  <c r="AU184" i="16"/>
  <c r="AW184" i="16"/>
  <c r="AM185" i="16"/>
  <c r="AO185" i="16"/>
  <c r="AV185" i="16"/>
  <c r="AL186" i="16"/>
  <c r="AN186" i="16"/>
  <c r="AP186" i="16"/>
  <c r="AU186" i="16"/>
  <c r="AW186" i="16"/>
  <c r="AM187" i="16"/>
  <c r="AO187" i="16"/>
  <c r="AV187" i="16"/>
  <c r="AL188" i="16"/>
  <c r="AN188" i="16"/>
  <c r="AP188" i="16"/>
  <c r="AU188" i="16"/>
  <c r="AW188" i="16"/>
  <c r="AM189" i="16"/>
  <c r="AO189" i="16"/>
  <c r="AV189" i="16"/>
  <c r="AL190" i="16"/>
  <c r="AN190" i="16"/>
  <c r="AP190" i="16"/>
  <c r="AU190" i="16"/>
  <c r="AW190" i="16"/>
  <c r="AL192" i="16"/>
  <c r="AN192" i="16"/>
  <c r="AP192" i="16"/>
  <c r="AU192" i="16"/>
  <c r="AW192" i="16"/>
  <c r="AM193" i="16"/>
  <c r="AO193" i="16"/>
  <c r="AV193" i="16"/>
  <c r="AL194" i="16"/>
  <c r="AN194" i="16"/>
  <c r="AP194" i="16"/>
  <c r="AU194" i="16"/>
  <c r="AW194" i="16"/>
  <c r="AM195" i="16"/>
  <c r="AO195" i="16"/>
  <c r="AV195" i="16"/>
  <c r="AL196" i="16"/>
  <c r="AN196" i="16"/>
  <c r="AP196" i="16"/>
  <c r="AU196" i="16"/>
  <c r="AW196" i="16"/>
  <c r="AM197" i="16"/>
  <c r="AO197" i="16"/>
  <c r="AV197" i="16"/>
  <c r="AL198" i="16"/>
  <c r="AN198" i="16"/>
  <c r="AP198" i="16"/>
  <c r="AU198" i="16"/>
  <c r="AW198" i="16"/>
  <c r="U87" i="16"/>
  <c r="U86" i="16"/>
  <c r="U89" i="16"/>
  <c r="H10" i="14" l="1"/>
  <c r="H7" i="14"/>
  <c r="K12" i="14"/>
  <c r="J4" i="14"/>
  <c r="J5" i="14"/>
  <c r="G7" i="14"/>
  <c r="G8" i="14"/>
  <c r="H8" i="14"/>
  <c r="G9" i="14"/>
  <c r="H9" i="14"/>
  <c r="G10" i="14"/>
  <c r="J12" i="14"/>
  <c r="L12" i="14"/>
  <c r="F13" i="14"/>
  <c r="I13" i="14"/>
  <c r="J13" i="14"/>
  <c r="L13" i="14"/>
  <c r="N13" i="14"/>
  <c r="F14" i="14"/>
  <c r="G14" i="14"/>
  <c r="H14" i="14"/>
  <c r="I14" i="14"/>
  <c r="J14" i="14"/>
  <c r="K14" i="14"/>
  <c r="L14" i="14"/>
  <c r="N14" i="14"/>
  <c r="E15" i="14"/>
  <c r="F15" i="14"/>
  <c r="G15" i="14"/>
  <c r="H15" i="14"/>
  <c r="I15" i="14"/>
  <c r="J15" i="14"/>
  <c r="K15" i="14"/>
  <c r="L15" i="14"/>
  <c r="M15" i="14"/>
  <c r="N15" i="14"/>
  <c r="C16" i="14"/>
  <c r="E16" i="14"/>
  <c r="F16" i="14"/>
  <c r="G16" i="14"/>
  <c r="H16" i="14"/>
  <c r="I16" i="14"/>
  <c r="J16" i="14"/>
  <c r="K16" i="14"/>
  <c r="C17" i="14"/>
  <c r="E17" i="14"/>
  <c r="F17" i="14"/>
  <c r="G17" i="14"/>
  <c r="H17" i="14"/>
  <c r="I17" i="14"/>
  <c r="J17" i="14"/>
  <c r="K17" i="14"/>
  <c r="C18" i="14"/>
  <c r="E18" i="14"/>
  <c r="F18" i="14"/>
  <c r="G18" i="14"/>
  <c r="H18" i="14"/>
  <c r="I18" i="14"/>
  <c r="J18" i="14"/>
  <c r="K18" i="14"/>
  <c r="C19" i="14"/>
  <c r="E19" i="14"/>
  <c r="F19" i="14"/>
  <c r="G19" i="14"/>
  <c r="H19" i="14"/>
  <c r="I19" i="14"/>
  <c r="J19" i="14"/>
  <c r="K19" i="14"/>
  <c r="C20" i="14"/>
  <c r="E20" i="14"/>
  <c r="F20" i="14"/>
  <c r="G20" i="14"/>
  <c r="H20" i="14"/>
  <c r="I20" i="14"/>
  <c r="J20" i="14"/>
  <c r="K20" i="14"/>
  <c r="C21" i="14"/>
  <c r="E21" i="14"/>
  <c r="F21" i="14"/>
  <c r="G21" i="14"/>
  <c r="H21" i="14"/>
  <c r="I21" i="14"/>
  <c r="J21" i="14"/>
  <c r="K21" i="14"/>
  <c r="O21" i="14"/>
  <c r="P21" i="14"/>
  <c r="Q21" i="14"/>
  <c r="R21" i="14"/>
  <c r="C22" i="14"/>
  <c r="E22" i="14"/>
  <c r="F22" i="14"/>
  <c r="G22" i="14"/>
  <c r="H22" i="14"/>
  <c r="I22" i="14"/>
  <c r="J22" i="14"/>
  <c r="K22" i="14"/>
  <c r="C23" i="14"/>
  <c r="E23" i="14"/>
  <c r="F23" i="14"/>
  <c r="G23" i="14"/>
  <c r="H23" i="14"/>
  <c r="I23" i="14"/>
  <c r="J23" i="14"/>
  <c r="K23" i="14"/>
  <c r="C24" i="14"/>
  <c r="E24" i="14"/>
  <c r="F24" i="14"/>
  <c r="G24" i="14"/>
  <c r="H24" i="14"/>
  <c r="I24" i="14"/>
  <c r="J24" i="14"/>
  <c r="K24" i="14"/>
  <c r="C25" i="14"/>
  <c r="E25" i="14"/>
  <c r="F25" i="14"/>
  <c r="G25" i="14"/>
  <c r="H25" i="14"/>
  <c r="I25" i="14"/>
  <c r="J25" i="14"/>
  <c r="K25" i="14"/>
  <c r="C26" i="14"/>
  <c r="E26" i="14"/>
  <c r="F26" i="14"/>
  <c r="G26" i="14"/>
  <c r="H26" i="14"/>
  <c r="I26" i="14"/>
  <c r="J26" i="14"/>
  <c r="K26" i="14"/>
  <c r="C27" i="14"/>
  <c r="E27" i="14"/>
  <c r="F27" i="14"/>
  <c r="G27" i="14"/>
  <c r="H27" i="14"/>
  <c r="I27" i="14"/>
  <c r="J27" i="14"/>
  <c r="K27" i="14"/>
  <c r="C28" i="14"/>
  <c r="E28" i="14"/>
  <c r="F28" i="14"/>
  <c r="G28" i="14"/>
  <c r="H28" i="14"/>
  <c r="I28" i="14"/>
  <c r="J28" i="14"/>
  <c r="K28" i="14"/>
  <c r="E29" i="14"/>
  <c r="F29" i="14"/>
  <c r="G29" i="14"/>
  <c r="H29" i="14"/>
  <c r="I29" i="14"/>
  <c r="J29" i="14"/>
  <c r="K29" i="14"/>
  <c r="E30" i="14"/>
  <c r="I31" i="14"/>
  <c r="I32" i="14"/>
  <c r="J35" i="14"/>
  <c r="L36" i="14"/>
  <c r="J37" i="14"/>
  <c r="K37" i="14"/>
  <c r="L37" i="14"/>
  <c r="M37" i="14"/>
  <c r="J38" i="14"/>
  <c r="J39" i="14"/>
  <c r="J40" i="14"/>
  <c r="J41" i="14"/>
  <c r="J42" i="14"/>
  <c r="AL42" i="14"/>
  <c r="AG42" i="14" s="1"/>
  <c r="AM42" i="14"/>
  <c r="AF42" i="14" s="1"/>
  <c r="AS42" i="14"/>
  <c r="AT42" i="14"/>
  <c r="J43" i="14"/>
  <c r="AL43" i="14"/>
  <c r="AG56" i="14" s="1"/>
  <c r="J44" i="14"/>
  <c r="AL44" i="14"/>
  <c r="AG55" i="14" s="1"/>
  <c r="J45" i="14"/>
  <c r="AL45" i="14"/>
  <c r="AG54" i="14" s="1"/>
  <c r="J46" i="14"/>
  <c r="AL46" i="14"/>
  <c r="AG53" i="14" s="1"/>
  <c r="J47" i="14"/>
  <c r="AL47" i="14"/>
  <c r="AG52" i="14" s="1"/>
  <c r="J48" i="14"/>
  <c r="AL48" i="14"/>
  <c r="AG51" i="14" s="1"/>
  <c r="J49" i="14"/>
  <c r="AL49" i="14"/>
  <c r="AG50" i="14" s="1"/>
  <c r="J50" i="14"/>
  <c r="AL50" i="14"/>
  <c r="AG49" i="14" s="1"/>
  <c r="F51" i="14"/>
  <c r="J51" i="14"/>
  <c r="AL51" i="14"/>
  <c r="AG48" i="14" s="1"/>
  <c r="AL52" i="14"/>
  <c r="AG47" i="14" s="1"/>
  <c r="AL53" i="14"/>
  <c r="AG46" i="14" s="1"/>
  <c r="AL54" i="14"/>
  <c r="AG45" i="14" s="1"/>
  <c r="AL55" i="14"/>
  <c r="AG44" i="14" s="1"/>
  <c r="AL56" i="14"/>
  <c r="AG43" i="14" s="1"/>
  <c r="AO56" i="14"/>
  <c r="AP56" i="14"/>
  <c r="AQ60" i="14"/>
  <c r="AH61" i="14"/>
  <c r="AI61" i="14" s="1"/>
  <c r="AQ61" i="14"/>
  <c r="AH62" i="14"/>
  <c r="AI62" i="14" s="1"/>
  <c r="AQ62" i="14"/>
  <c r="AH63" i="14"/>
  <c r="AI63" i="14" s="1"/>
  <c r="AQ63" i="14"/>
  <c r="AH64" i="14"/>
  <c r="AI64" i="14" s="1"/>
  <c r="AQ64" i="14"/>
  <c r="Y65" i="14"/>
  <c r="AH65" i="14"/>
  <c r="AI65" i="14" s="1"/>
  <c r="AQ65" i="14"/>
  <c r="T66" i="14"/>
  <c r="U66" i="14"/>
  <c r="Y66" i="14"/>
  <c r="AH66" i="14"/>
  <c r="AI66" i="14" s="1"/>
  <c r="AQ66" i="14"/>
  <c r="T67" i="14"/>
  <c r="U67" i="14"/>
  <c r="Y67" i="14"/>
  <c r="AH67" i="14"/>
  <c r="AI67" i="14" s="1"/>
  <c r="T68" i="14"/>
  <c r="U68" i="14"/>
  <c r="Y68" i="14"/>
  <c r="AH68" i="14"/>
  <c r="AI68" i="14" s="1"/>
  <c r="AQ68" i="14"/>
  <c r="T69" i="14"/>
  <c r="T65" i="14" s="1"/>
  <c r="U69" i="14"/>
  <c r="U65" i="14" s="1"/>
  <c r="Y69" i="14"/>
  <c r="AH69" i="14"/>
  <c r="AI69" i="14" s="1"/>
  <c r="AQ69" i="14"/>
  <c r="I70" i="14"/>
  <c r="Y70" i="14"/>
  <c r="AH70" i="14"/>
  <c r="AI70" i="14" s="1"/>
  <c r="AQ70" i="14"/>
  <c r="Y71" i="14"/>
  <c r="AH71" i="14"/>
  <c r="AH46" i="14" s="1"/>
  <c r="AQ71" i="14"/>
  <c r="Y72" i="14"/>
  <c r="AH72" i="14"/>
  <c r="AH45" i="14" s="1"/>
  <c r="AQ72" i="14"/>
  <c r="T73" i="14"/>
  <c r="U73" i="14"/>
  <c r="Y73" i="14"/>
  <c r="AH73" i="14"/>
  <c r="AI73" i="14" s="1"/>
  <c r="AQ73" i="14"/>
  <c r="T74" i="14"/>
  <c r="Y74" i="14"/>
  <c r="Z74" i="14"/>
  <c r="AH74" i="14"/>
  <c r="AI74" i="14" s="1"/>
  <c r="AQ74" i="14"/>
  <c r="Y75" i="14"/>
  <c r="Z75" i="14"/>
  <c r="AQ75" i="14"/>
  <c r="T76" i="14"/>
  <c r="U76" i="14"/>
  <c r="Y76" i="14"/>
  <c r="Z76" i="14"/>
  <c r="AQ76" i="14"/>
  <c r="T77" i="14"/>
  <c r="T75" i="14" s="1"/>
  <c r="Y77" i="14"/>
  <c r="AQ77" i="14"/>
  <c r="AQ78" i="14"/>
  <c r="T79" i="14"/>
  <c r="U79" i="14"/>
  <c r="AQ79" i="14"/>
  <c r="T80" i="14"/>
  <c r="T81" i="14" s="1"/>
  <c r="T82" i="14" s="1"/>
  <c r="AQ80" i="14"/>
  <c r="AQ81" i="14"/>
  <c r="AQ82" i="14"/>
  <c r="AA83" i="14"/>
  <c r="AA84" i="14" s="1"/>
  <c r="AA85" i="14" s="1"/>
  <c r="AA86" i="14" s="1"/>
  <c r="AA87" i="14" s="1"/>
  <c r="AQ83" i="14"/>
  <c r="T84" i="14"/>
  <c r="U84" i="14"/>
  <c r="AQ84" i="14"/>
  <c r="AQ85" i="14"/>
  <c r="AQ86" i="14"/>
  <c r="AQ87" i="14"/>
  <c r="AQ88" i="14"/>
  <c r="AQ89" i="14"/>
  <c r="AQ90" i="14"/>
  <c r="AQ91" i="14"/>
  <c r="AQ92" i="14"/>
  <c r="AQ93" i="14"/>
  <c r="AQ94" i="14"/>
  <c r="AQ95" i="14"/>
  <c r="AQ96" i="14"/>
  <c r="AQ97" i="14"/>
  <c r="AQ98" i="14"/>
  <c r="AQ99" i="14"/>
  <c r="AQ100" i="14"/>
  <c r="AQ101" i="14"/>
  <c r="AQ102" i="14"/>
  <c r="AQ103" i="14"/>
  <c r="I104" i="14"/>
  <c r="AQ104" i="14"/>
  <c r="I105" i="14"/>
  <c r="AQ105" i="14"/>
  <c r="I106" i="14"/>
  <c r="AQ106" i="14"/>
  <c r="I107" i="14"/>
  <c r="AQ107" i="14"/>
  <c r="I108" i="14"/>
  <c r="AQ108" i="14"/>
  <c r="AQ109" i="14"/>
  <c r="AQ110" i="14"/>
  <c r="AQ111" i="14"/>
  <c r="AQ112" i="14"/>
  <c r="AQ113" i="14"/>
  <c r="AQ114" i="14"/>
  <c r="AQ115" i="14"/>
  <c r="AQ116" i="14"/>
  <c r="AQ117" i="14"/>
  <c r="AQ118" i="14"/>
  <c r="AQ119" i="14"/>
  <c r="AQ120" i="14"/>
  <c r="AQ121" i="14"/>
  <c r="AQ122" i="14"/>
  <c r="AQ123" i="14"/>
  <c r="AQ124" i="14"/>
  <c r="AQ125" i="14"/>
  <c r="AQ126" i="14"/>
  <c r="AQ127" i="14"/>
  <c r="AQ128" i="14"/>
  <c r="AQ129" i="14"/>
  <c r="AQ130" i="14"/>
  <c r="H131" i="14"/>
  <c r="AQ131" i="14"/>
  <c r="H132" i="14"/>
  <c r="AQ132" i="14"/>
  <c r="AQ133" i="14"/>
  <c r="AQ134" i="14"/>
  <c r="AQ135" i="14"/>
  <c r="AQ136" i="14"/>
  <c r="AQ137" i="14"/>
  <c r="AQ138" i="14"/>
  <c r="AQ139" i="14"/>
  <c r="AQ140" i="14"/>
  <c r="AQ141" i="14"/>
  <c r="AQ142" i="14"/>
  <c r="AQ143" i="14"/>
  <c r="AQ144" i="14"/>
  <c r="AQ145" i="14"/>
  <c r="AQ146" i="14"/>
  <c r="AQ147" i="14"/>
  <c r="AQ148" i="14"/>
  <c r="AQ149" i="14"/>
  <c r="AQ150" i="14"/>
  <c r="AQ151" i="14"/>
  <c r="AQ152" i="14"/>
  <c r="AQ153" i="14"/>
  <c r="AQ154" i="14"/>
  <c r="AQ155" i="14"/>
  <c r="AQ156" i="14"/>
  <c r="AQ157" i="14"/>
  <c r="AQ158" i="14"/>
  <c r="AQ159" i="14"/>
  <c r="AQ160" i="14"/>
  <c r="AQ161" i="14"/>
  <c r="AQ162" i="14"/>
  <c r="AQ163" i="14"/>
  <c r="AQ164" i="14"/>
  <c r="AQ165" i="14"/>
  <c r="AQ166" i="14"/>
  <c r="AQ167" i="14"/>
  <c r="AQ168" i="14"/>
  <c r="AQ169" i="14"/>
  <c r="AQ170" i="14"/>
  <c r="AQ171" i="14"/>
  <c r="AQ172" i="14"/>
  <c r="AQ173" i="14"/>
  <c r="AQ174" i="14"/>
  <c r="AQ175" i="14"/>
  <c r="AQ176" i="14"/>
  <c r="AQ177" i="14"/>
  <c r="AQ178" i="14"/>
  <c r="AQ179" i="14"/>
  <c r="AQ180" i="14"/>
  <c r="AQ181" i="14"/>
  <c r="AQ182" i="14"/>
  <c r="AQ183" i="14"/>
  <c r="AQ184" i="14"/>
  <c r="AQ185" i="14"/>
  <c r="AQ186" i="14"/>
  <c r="AQ187" i="14"/>
  <c r="AQ188" i="14"/>
  <c r="AQ189" i="14"/>
  <c r="AQ190" i="14"/>
  <c r="AQ191" i="14"/>
  <c r="AQ192" i="14"/>
  <c r="AQ193" i="14"/>
  <c r="AQ194" i="14"/>
  <c r="AQ195" i="14"/>
  <c r="AQ196" i="14"/>
  <c r="AQ197" i="14"/>
  <c r="AQ198" i="14"/>
  <c r="O8" i="14"/>
  <c r="P8" i="14"/>
  <c r="Q8" i="14"/>
  <c r="R8" i="14"/>
  <c r="T86" i="14" l="1"/>
  <c r="T89" i="14" s="1"/>
  <c r="T87" i="14"/>
  <c r="T88" i="14" s="1"/>
  <c r="T78" i="14"/>
  <c r="T83" i="14" s="1"/>
  <c r="U75" i="14"/>
  <c r="U77" i="14" s="1"/>
  <c r="U78" i="14" s="1"/>
  <c r="U83" i="14" s="1"/>
  <c r="U74" i="14"/>
  <c r="U80" i="14" s="1"/>
  <c r="U82" i="14" s="1"/>
  <c r="AI72" i="14"/>
  <c r="AI71" i="14"/>
  <c r="U81" i="14"/>
  <c r="AH43" i="14"/>
  <c r="AK56" i="14"/>
  <c r="AH44" i="14"/>
  <c r="AK55" i="14"/>
  <c r="AH47" i="14"/>
  <c r="AK52" i="14"/>
  <c r="AH49" i="14"/>
  <c r="AK50" i="14"/>
  <c r="AK49" i="14"/>
  <c r="AH50" i="14"/>
  <c r="AK46" i="14"/>
  <c r="AH53" i="14"/>
  <c r="AK44" i="14"/>
  <c r="AH55" i="14"/>
  <c r="AK54" i="14"/>
  <c r="AK53" i="14"/>
  <c r="AK51" i="14"/>
  <c r="AH48" i="14"/>
  <c r="AK48" i="14"/>
  <c r="AH51" i="14"/>
  <c r="AH52" i="14"/>
  <c r="AK47" i="14"/>
  <c r="AK45" i="14"/>
  <c r="AK43" i="14"/>
  <c r="AH56" i="14"/>
  <c r="AH54" i="14"/>
  <c r="U88" i="14" l="1"/>
  <c r="U87" i="14"/>
  <c r="AL60" i="14"/>
  <c r="AN60" i="14"/>
  <c r="AP60" i="14"/>
  <c r="AL61" i="14"/>
  <c r="AN61" i="14"/>
  <c r="AP61" i="14"/>
  <c r="AU61" i="14"/>
  <c r="AW61" i="14"/>
  <c r="AM62" i="14"/>
  <c r="AO62" i="14"/>
  <c r="AV62" i="14"/>
  <c r="AL63" i="14"/>
  <c r="AN63" i="14"/>
  <c r="AP63" i="14"/>
  <c r="AU63" i="14"/>
  <c r="AW63" i="14"/>
  <c r="AM64" i="14"/>
  <c r="AO64" i="14"/>
  <c r="AV64" i="14"/>
  <c r="AL65" i="14"/>
  <c r="AN65" i="14"/>
  <c r="AP65" i="14"/>
  <c r="AU65" i="14"/>
  <c r="AW65" i="14"/>
  <c r="AL66" i="14"/>
  <c r="AN66" i="14"/>
  <c r="AP66" i="14"/>
  <c r="AU66" i="14"/>
  <c r="AW66" i="14"/>
  <c r="AM68" i="14"/>
  <c r="AO68" i="14"/>
  <c r="AV68" i="14"/>
  <c r="AL69" i="14"/>
  <c r="AN69" i="14"/>
  <c r="AP69" i="14"/>
  <c r="AU69" i="14"/>
  <c r="AW69" i="14"/>
  <c r="AM71" i="14"/>
  <c r="AO71" i="14"/>
  <c r="AV71" i="14"/>
  <c r="AO60" i="14"/>
  <c r="AM61" i="14"/>
  <c r="AO61" i="14"/>
  <c r="AV61" i="14"/>
  <c r="AL62" i="14"/>
  <c r="AN62" i="14"/>
  <c r="AP62" i="14"/>
  <c r="AU62" i="14"/>
  <c r="AW62" i="14"/>
  <c r="AM63" i="14"/>
  <c r="AO63" i="14"/>
  <c r="AV63" i="14"/>
  <c r="AL64" i="14"/>
  <c r="AN64" i="14"/>
  <c r="AP64" i="14"/>
  <c r="AU64" i="14"/>
  <c r="AW64" i="14"/>
  <c r="AM65" i="14"/>
  <c r="AO65" i="14"/>
  <c r="AV65" i="14"/>
  <c r="AM66" i="14"/>
  <c r="AO66" i="14"/>
  <c r="AV66" i="14"/>
  <c r="AL67" i="14"/>
  <c r="AL68" i="14"/>
  <c r="AN68" i="14"/>
  <c r="AP68" i="14"/>
  <c r="AU68" i="14"/>
  <c r="AW68" i="14"/>
  <c r="AM69" i="14"/>
  <c r="AO69" i="14"/>
  <c r="AV69" i="14"/>
  <c r="AL70" i="14"/>
  <c r="AL71" i="14"/>
  <c r="AN71" i="14"/>
  <c r="AP71" i="14"/>
  <c r="AU71" i="14"/>
  <c r="AW71" i="14"/>
  <c r="AL72" i="14"/>
  <c r="AN72" i="14"/>
  <c r="AP72" i="14"/>
  <c r="AU72" i="14"/>
  <c r="AO72" i="14"/>
  <c r="AV72" i="14"/>
  <c r="AM74" i="14"/>
  <c r="AO74" i="14"/>
  <c r="AV74" i="14"/>
  <c r="AM75" i="14"/>
  <c r="AO75" i="14"/>
  <c r="AV75" i="14"/>
  <c r="AM76" i="14"/>
  <c r="AO76" i="14"/>
  <c r="AV76" i="14"/>
  <c r="AL77" i="14"/>
  <c r="AN77" i="14"/>
  <c r="AP77" i="14"/>
  <c r="AU77" i="14"/>
  <c r="AW77" i="14"/>
  <c r="AL79" i="14"/>
  <c r="AN79" i="14"/>
  <c r="AP79" i="14"/>
  <c r="AU79" i="14"/>
  <c r="AW79" i="14"/>
  <c r="AM80" i="14"/>
  <c r="AO80" i="14"/>
  <c r="AV80" i="14"/>
  <c r="AL81" i="14"/>
  <c r="AN81" i="14"/>
  <c r="AP81" i="14"/>
  <c r="AU81" i="14"/>
  <c r="AW81" i="14"/>
  <c r="AM82" i="14"/>
  <c r="AO82" i="14"/>
  <c r="AV82" i="14"/>
  <c r="AM83" i="14"/>
  <c r="AO83" i="14"/>
  <c r="AV83" i="14"/>
  <c r="AL85" i="14"/>
  <c r="AN85" i="14"/>
  <c r="AP85" i="14"/>
  <c r="AU85" i="14"/>
  <c r="AW85" i="14"/>
  <c r="AM86" i="14"/>
  <c r="AO86" i="14"/>
  <c r="AV86" i="14"/>
  <c r="AM87" i="14"/>
  <c r="AO87" i="14"/>
  <c r="AV87" i="14"/>
  <c r="AM88" i="14"/>
  <c r="AO88" i="14"/>
  <c r="AV88" i="14"/>
  <c r="AM89" i="14"/>
  <c r="AO89" i="14"/>
  <c r="AV89" i="14"/>
  <c r="AM90" i="14"/>
  <c r="AO90" i="14"/>
  <c r="AV90" i="14"/>
  <c r="AM91" i="14"/>
  <c r="AO91" i="14"/>
  <c r="AV91" i="14"/>
  <c r="AL92" i="14"/>
  <c r="AN92" i="14"/>
  <c r="AP92" i="14"/>
  <c r="AU92" i="14"/>
  <c r="AW92" i="14"/>
  <c r="AM94" i="14"/>
  <c r="AO94" i="14"/>
  <c r="AV94" i="14"/>
  <c r="AM95" i="14"/>
  <c r="AO95" i="14"/>
  <c r="AV95" i="14"/>
  <c r="AL96" i="14"/>
  <c r="AN96" i="14"/>
  <c r="AP96" i="14"/>
  <c r="AU96" i="14"/>
  <c r="AW96" i="14"/>
  <c r="AL97" i="14"/>
  <c r="AN97" i="14"/>
  <c r="AP97" i="14"/>
  <c r="AU97" i="14"/>
  <c r="AW97" i="14"/>
  <c r="AL98" i="14"/>
  <c r="AN98" i="14"/>
  <c r="AP98" i="14"/>
  <c r="AU98" i="14"/>
  <c r="AW98" i="14"/>
  <c r="AM99" i="14"/>
  <c r="AO99" i="14"/>
  <c r="AV99" i="14"/>
  <c r="AM100" i="14"/>
  <c r="AO100" i="14"/>
  <c r="AV100" i="14"/>
  <c r="AM101" i="14"/>
  <c r="AO101" i="14"/>
  <c r="AV101" i="14"/>
  <c r="AM102" i="14"/>
  <c r="AO102" i="14"/>
  <c r="AV102" i="14"/>
  <c r="AL103" i="14"/>
  <c r="AN103" i="14"/>
  <c r="AP103" i="14"/>
  <c r="AU103" i="14"/>
  <c r="AW103" i="14"/>
  <c r="AM104" i="14"/>
  <c r="AO104" i="14"/>
  <c r="AV104" i="14"/>
  <c r="AL105" i="14"/>
  <c r="AM106" i="14"/>
  <c r="AO106" i="14"/>
  <c r="AV106" i="14"/>
  <c r="AL107" i="14"/>
  <c r="AN107" i="14"/>
  <c r="AP107" i="14"/>
  <c r="AU107" i="14"/>
  <c r="AW107" i="14"/>
  <c r="AM108" i="14"/>
  <c r="AO108" i="14"/>
  <c r="AV108" i="14"/>
  <c r="AM109" i="14"/>
  <c r="AO109" i="14"/>
  <c r="AV109" i="14"/>
  <c r="AL110" i="14"/>
  <c r="AN110" i="14"/>
  <c r="AP110" i="14"/>
  <c r="AU110" i="14"/>
  <c r="AW110" i="14"/>
  <c r="AM111" i="14"/>
  <c r="AO111" i="14"/>
  <c r="AV111" i="14"/>
  <c r="AL112" i="14"/>
  <c r="AN112" i="14"/>
  <c r="AM72" i="14"/>
  <c r="AW72" i="14"/>
  <c r="AL73" i="14"/>
  <c r="AL74" i="14"/>
  <c r="AN74" i="14"/>
  <c r="AP74" i="14"/>
  <c r="AU74" i="14"/>
  <c r="AW74" i="14"/>
  <c r="AL75" i="14"/>
  <c r="AN75" i="14"/>
  <c r="AP75" i="14"/>
  <c r="AU75" i="14"/>
  <c r="AW75" i="14"/>
  <c r="AL76" i="14"/>
  <c r="AN76" i="14"/>
  <c r="AP76" i="14"/>
  <c r="AU76" i="14"/>
  <c r="AW76" i="14"/>
  <c r="AM77" i="14"/>
  <c r="AO77" i="14"/>
  <c r="AV77" i="14"/>
  <c r="AL78" i="14"/>
  <c r="AM79" i="14"/>
  <c r="AO79" i="14"/>
  <c r="AV79" i="14"/>
  <c r="AL80" i="14"/>
  <c r="AN80" i="14"/>
  <c r="AP80" i="14"/>
  <c r="AU80" i="14"/>
  <c r="AW80" i="14"/>
  <c r="AM81" i="14"/>
  <c r="AO81" i="14"/>
  <c r="AV81" i="14"/>
  <c r="AL82" i="14"/>
  <c r="AN82" i="14"/>
  <c r="AP82" i="14"/>
  <c r="AU82" i="14"/>
  <c r="AW82" i="14"/>
  <c r="AL83" i="14"/>
  <c r="AN83" i="14"/>
  <c r="AP83" i="14"/>
  <c r="AU83" i="14"/>
  <c r="AW83" i="14"/>
  <c r="AL84" i="14"/>
  <c r="AM85" i="14"/>
  <c r="AO85" i="14"/>
  <c r="AV85" i="14"/>
  <c r="AL86" i="14"/>
  <c r="AN86" i="14"/>
  <c r="AP86" i="14"/>
  <c r="AU86" i="14"/>
  <c r="AW86" i="14"/>
  <c r="AL87" i="14"/>
  <c r="AN87" i="14"/>
  <c r="AP87" i="14"/>
  <c r="AU87" i="14"/>
  <c r="AW87" i="14"/>
  <c r="AL88" i="14"/>
  <c r="AN88" i="14"/>
  <c r="AP88" i="14"/>
  <c r="AU88" i="14"/>
  <c r="AW88" i="14"/>
  <c r="AL89" i="14"/>
  <c r="AN89" i="14"/>
  <c r="AP89" i="14"/>
  <c r="AU89" i="14"/>
  <c r="AW89" i="14"/>
  <c r="AL90" i="14"/>
  <c r="AN90" i="14"/>
  <c r="AP90" i="14"/>
  <c r="AU90" i="14"/>
  <c r="AW90" i="14"/>
  <c r="AL91" i="14"/>
  <c r="AN91" i="14"/>
  <c r="AP91" i="14"/>
  <c r="AU91" i="14"/>
  <c r="AW91" i="14"/>
  <c r="AM92" i="14"/>
  <c r="AO92" i="14"/>
  <c r="AV92" i="14"/>
  <c r="AL93" i="14"/>
  <c r="AL94" i="14"/>
  <c r="AN94" i="14"/>
  <c r="AP94" i="14"/>
  <c r="AU94" i="14"/>
  <c r="AW94" i="14"/>
  <c r="AL95" i="14"/>
  <c r="AN95" i="14"/>
  <c r="AP95" i="14"/>
  <c r="AU95" i="14"/>
  <c r="AW95" i="14"/>
  <c r="AM96" i="14"/>
  <c r="AO96" i="14"/>
  <c r="AV96" i="14"/>
  <c r="AM97" i="14"/>
  <c r="AO97" i="14"/>
  <c r="AV97" i="14"/>
  <c r="AM98" i="14"/>
  <c r="AO98" i="14"/>
  <c r="AV98" i="14"/>
  <c r="AL99" i="14"/>
  <c r="AN99" i="14"/>
  <c r="AP99" i="14"/>
  <c r="AU99" i="14"/>
  <c r="AW99" i="14"/>
  <c r="AL100" i="14"/>
  <c r="AN100" i="14"/>
  <c r="AP100" i="14"/>
  <c r="AU100" i="14"/>
  <c r="AW100" i="14"/>
  <c r="AL101" i="14"/>
  <c r="AN101" i="14"/>
  <c r="AP101" i="14"/>
  <c r="AU101" i="14"/>
  <c r="AW101" i="14"/>
  <c r="AL102" i="14"/>
  <c r="AN102" i="14"/>
  <c r="AP102" i="14"/>
  <c r="AU102" i="14"/>
  <c r="AW102" i="14"/>
  <c r="AM103" i="14"/>
  <c r="AO103" i="14"/>
  <c r="AV103" i="14"/>
  <c r="AL104" i="14"/>
  <c r="AN104" i="14"/>
  <c r="AP104" i="14"/>
  <c r="AU104" i="14"/>
  <c r="AW104" i="14"/>
  <c r="AL106" i="14"/>
  <c r="AN106" i="14"/>
  <c r="AP106" i="14"/>
  <c r="AU106" i="14"/>
  <c r="AW106" i="14"/>
  <c r="AM107" i="14"/>
  <c r="AO107" i="14"/>
  <c r="AV107" i="14"/>
  <c r="AL108" i="14"/>
  <c r="AN108" i="14"/>
  <c r="AW108" i="14"/>
  <c r="AN109" i="14"/>
  <c r="AW109" i="14"/>
  <c r="AO110" i="14"/>
  <c r="AV110" i="14"/>
  <c r="AN111" i="14"/>
  <c r="AW111" i="14"/>
  <c r="AO112" i="14"/>
  <c r="AV112" i="14"/>
  <c r="AL113" i="14"/>
  <c r="AN113" i="14"/>
  <c r="AP113" i="14"/>
  <c r="AU113" i="14"/>
  <c r="AW113" i="14"/>
  <c r="AM114" i="14"/>
  <c r="AO114" i="14"/>
  <c r="AV114" i="14"/>
  <c r="AL115" i="14"/>
  <c r="AN115" i="14"/>
  <c r="AP115" i="14"/>
  <c r="AU115" i="14"/>
  <c r="AW115" i="14"/>
  <c r="AM116" i="14"/>
  <c r="AO116" i="14"/>
  <c r="AV116" i="14"/>
  <c r="AL117" i="14"/>
  <c r="AN117" i="14"/>
  <c r="AP117" i="14"/>
  <c r="AU117" i="14"/>
  <c r="AW117" i="14"/>
  <c r="AL118" i="14"/>
  <c r="AN118" i="14"/>
  <c r="AP118" i="14"/>
  <c r="AU118" i="14"/>
  <c r="AW118" i="14"/>
  <c r="AL119" i="14"/>
  <c r="AN119" i="14"/>
  <c r="AP119" i="14"/>
  <c r="AU119" i="14"/>
  <c r="AW119" i="14"/>
  <c r="AM120" i="14"/>
  <c r="AO120" i="14"/>
  <c r="AV120" i="14"/>
  <c r="AL121" i="14"/>
  <c r="AN121" i="14"/>
  <c r="AP121" i="14"/>
  <c r="AU121" i="14"/>
  <c r="AW121" i="14"/>
  <c r="AL123" i="14"/>
  <c r="AN123" i="14"/>
  <c r="AP123" i="14"/>
  <c r="AU123" i="14"/>
  <c r="AW123" i="14"/>
  <c r="AM124" i="14"/>
  <c r="AO124" i="14"/>
  <c r="AV124" i="14"/>
  <c r="AL125" i="14"/>
  <c r="AN125" i="14"/>
  <c r="AP125" i="14"/>
  <c r="AU125" i="14"/>
  <c r="AW125" i="14"/>
  <c r="AM126" i="14"/>
  <c r="AO126" i="14"/>
  <c r="AV126" i="14"/>
  <c r="AM127" i="14"/>
  <c r="AO127" i="14"/>
  <c r="AV127" i="14"/>
  <c r="AM128" i="14"/>
  <c r="AO128" i="14"/>
  <c r="AV128" i="14"/>
  <c r="AL129" i="14"/>
  <c r="AN129" i="14"/>
  <c r="AP129" i="14"/>
  <c r="AU129" i="14"/>
  <c r="AW129" i="14"/>
  <c r="AL131" i="14"/>
  <c r="AN131" i="14"/>
  <c r="AP131" i="14"/>
  <c r="AU131" i="14"/>
  <c r="AW131" i="14"/>
  <c r="AM132" i="14"/>
  <c r="AO132" i="14"/>
  <c r="AV132" i="14"/>
  <c r="AM133" i="14"/>
  <c r="AO133" i="14"/>
  <c r="AV133" i="14"/>
  <c r="AL134" i="14"/>
  <c r="AN134" i="14"/>
  <c r="AP134" i="14"/>
  <c r="AU134" i="14"/>
  <c r="AW134" i="14"/>
  <c r="AM135" i="14"/>
  <c r="AO135" i="14"/>
  <c r="AV135" i="14"/>
  <c r="AL136" i="14"/>
  <c r="AN136" i="14"/>
  <c r="AP136" i="14"/>
  <c r="AU136" i="14"/>
  <c r="AW136" i="14"/>
  <c r="AM137" i="14"/>
  <c r="AO137" i="14"/>
  <c r="AV137" i="14"/>
  <c r="AL138" i="14"/>
  <c r="AN138" i="14"/>
  <c r="AP138" i="14"/>
  <c r="AU138" i="14"/>
  <c r="AW138" i="14"/>
  <c r="AM139" i="14"/>
  <c r="AO139" i="14"/>
  <c r="AV139" i="14"/>
  <c r="AL140" i="14"/>
  <c r="AN140" i="14"/>
  <c r="AP140" i="14"/>
  <c r="AU140" i="14"/>
  <c r="AW140" i="14"/>
  <c r="AM141" i="14"/>
  <c r="AO141" i="14"/>
  <c r="AV141" i="14"/>
  <c r="AL142" i="14"/>
  <c r="AN142" i="14"/>
  <c r="AP142" i="14"/>
  <c r="AU142" i="14"/>
  <c r="AW142" i="14"/>
  <c r="AM143" i="14"/>
  <c r="AO143" i="14"/>
  <c r="AV143" i="14"/>
  <c r="AL144" i="14"/>
  <c r="AM145" i="14"/>
  <c r="AO145" i="14"/>
  <c r="AV145" i="14"/>
  <c r="AL146" i="14"/>
  <c r="AN146" i="14"/>
  <c r="AP146" i="14"/>
  <c r="AU146" i="14"/>
  <c r="AW146" i="14"/>
  <c r="AM147" i="14"/>
  <c r="AO147" i="14"/>
  <c r="AV147" i="14"/>
  <c r="AL148" i="14"/>
  <c r="AN148" i="14"/>
  <c r="AP148" i="14"/>
  <c r="AU148" i="14"/>
  <c r="AW148" i="14"/>
  <c r="AM149" i="14"/>
  <c r="AO149" i="14"/>
  <c r="AV149" i="14"/>
  <c r="AL150" i="14"/>
  <c r="AN150" i="14"/>
  <c r="AP150" i="14"/>
  <c r="AU150" i="14"/>
  <c r="AW150" i="14"/>
  <c r="AM151" i="14"/>
  <c r="AO151" i="14"/>
  <c r="AV151" i="14"/>
  <c r="AL152" i="14"/>
  <c r="AN152" i="14"/>
  <c r="AP152" i="14"/>
  <c r="AU152" i="14"/>
  <c r="AP108" i="14"/>
  <c r="AU108" i="14"/>
  <c r="AL109" i="14"/>
  <c r="AP109" i="14"/>
  <c r="AU109" i="14"/>
  <c r="AM110" i="14"/>
  <c r="AL111" i="14"/>
  <c r="AP111" i="14"/>
  <c r="AU111" i="14"/>
  <c r="AM112" i="14"/>
  <c r="AP112" i="14"/>
  <c r="AU112" i="14"/>
  <c r="AW112" i="14"/>
  <c r="AM113" i="14"/>
  <c r="AO113" i="14"/>
  <c r="AV113" i="14"/>
  <c r="AL114" i="14"/>
  <c r="AN114" i="14"/>
  <c r="AP114" i="14"/>
  <c r="AU114" i="14"/>
  <c r="AW114" i="14"/>
  <c r="AM115" i="14"/>
  <c r="AO115" i="14"/>
  <c r="AV115" i="14"/>
  <c r="AL116" i="14"/>
  <c r="AN116" i="14"/>
  <c r="AP116" i="14"/>
  <c r="AU116" i="14"/>
  <c r="AW116" i="14"/>
  <c r="AM117" i="14"/>
  <c r="AO117" i="14"/>
  <c r="AV117" i="14"/>
  <c r="AM118" i="14"/>
  <c r="AO118" i="14"/>
  <c r="AV118" i="14"/>
  <c r="AM119" i="14"/>
  <c r="AO119" i="14"/>
  <c r="AV119" i="14"/>
  <c r="AL120" i="14"/>
  <c r="AN120" i="14"/>
  <c r="AP120" i="14"/>
  <c r="AU120" i="14"/>
  <c r="AW120" i="14"/>
  <c r="AM121" i="14"/>
  <c r="AO121" i="14"/>
  <c r="AV121" i="14"/>
  <c r="AL122" i="14"/>
  <c r="AM123" i="14"/>
  <c r="AO123" i="14"/>
  <c r="AV123" i="14"/>
  <c r="AL124" i="14"/>
  <c r="AN124" i="14"/>
  <c r="AP124" i="14"/>
  <c r="AU124" i="14"/>
  <c r="AW124" i="14"/>
  <c r="AM125" i="14"/>
  <c r="AO125" i="14"/>
  <c r="AV125" i="14"/>
  <c r="AL126" i="14"/>
  <c r="AN126" i="14"/>
  <c r="AP126" i="14"/>
  <c r="AU126" i="14"/>
  <c r="AW126" i="14"/>
  <c r="AL127" i="14"/>
  <c r="AN127" i="14"/>
  <c r="AP127" i="14"/>
  <c r="AU127" i="14"/>
  <c r="AW127" i="14"/>
  <c r="AL128" i="14"/>
  <c r="AN128" i="14"/>
  <c r="AP128" i="14"/>
  <c r="AU128" i="14"/>
  <c r="AW128" i="14"/>
  <c r="AM129" i="14"/>
  <c r="AO129" i="14"/>
  <c r="AV129" i="14"/>
  <c r="AL130" i="14"/>
  <c r="AM131" i="14"/>
  <c r="AO131" i="14"/>
  <c r="AV131" i="14"/>
  <c r="AL132" i="14"/>
  <c r="AN132" i="14"/>
  <c r="AP132" i="14"/>
  <c r="AU132" i="14"/>
  <c r="AW132" i="14"/>
  <c r="AL133" i="14"/>
  <c r="AN133" i="14"/>
  <c r="AP133" i="14"/>
  <c r="AU133" i="14"/>
  <c r="AW133" i="14"/>
  <c r="AM134" i="14"/>
  <c r="AO134" i="14"/>
  <c r="AV134" i="14"/>
  <c r="AL135" i="14"/>
  <c r="AN135" i="14"/>
  <c r="AP135" i="14"/>
  <c r="AU135" i="14"/>
  <c r="AW135" i="14"/>
  <c r="AM136" i="14"/>
  <c r="AO136" i="14"/>
  <c r="AV136" i="14"/>
  <c r="AL137" i="14"/>
  <c r="AN137" i="14"/>
  <c r="AP137" i="14"/>
  <c r="AU137" i="14"/>
  <c r="AW137" i="14"/>
  <c r="AM138" i="14"/>
  <c r="AO138" i="14"/>
  <c r="AV138" i="14"/>
  <c r="AL139" i="14"/>
  <c r="AN139" i="14"/>
  <c r="AP139" i="14"/>
  <c r="AU139" i="14"/>
  <c r="AW139" i="14"/>
  <c r="AM140" i="14"/>
  <c r="AO140" i="14"/>
  <c r="AV140" i="14"/>
  <c r="AL141" i="14"/>
  <c r="AN141" i="14"/>
  <c r="AP141" i="14"/>
  <c r="AU141" i="14"/>
  <c r="AW141" i="14"/>
  <c r="AM142" i="14"/>
  <c r="AO142" i="14"/>
  <c r="AV142" i="14"/>
  <c r="AL143" i="14"/>
  <c r="AN143" i="14"/>
  <c r="AP143" i="14"/>
  <c r="AU143" i="14"/>
  <c r="AW143" i="14"/>
  <c r="AL145" i="14"/>
  <c r="AN145" i="14"/>
  <c r="AP145" i="14"/>
  <c r="AU145" i="14"/>
  <c r="AW145" i="14"/>
  <c r="AM146" i="14"/>
  <c r="AO146" i="14"/>
  <c r="AV146" i="14"/>
  <c r="AL147" i="14"/>
  <c r="AN147" i="14"/>
  <c r="AP147" i="14"/>
  <c r="AU147" i="14"/>
  <c r="AW147" i="14"/>
  <c r="AM148" i="14"/>
  <c r="AO148" i="14"/>
  <c r="AV148" i="14"/>
  <c r="AL149" i="14"/>
  <c r="AN149" i="14"/>
  <c r="AP149" i="14"/>
  <c r="AU149" i="14"/>
  <c r="AW149" i="14"/>
  <c r="AM150" i="14"/>
  <c r="AO150" i="14"/>
  <c r="AV150" i="14"/>
  <c r="AL151" i="14"/>
  <c r="AN151" i="14"/>
  <c r="AP151" i="14"/>
  <c r="AU151" i="14"/>
  <c r="AW151" i="14"/>
  <c r="AM152" i="14"/>
  <c r="AO152" i="14"/>
  <c r="AV152" i="14"/>
  <c r="AL153" i="14"/>
  <c r="AN153" i="14"/>
  <c r="AP153" i="14"/>
  <c r="AW152" i="14"/>
  <c r="AO153" i="14"/>
  <c r="AU153" i="14"/>
  <c r="AW153" i="14"/>
  <c r="AM154" i="14"/>
  <c r="AO154" i="14"/>
  <c r="AV154" i="14"/>
  <c r="AL155" i="14"/>
  <c r="AN155" i="14"/>
  <c r="AP155" i="14"/>
  <c r="AU155" i="14"/>
  <c r="AW155" i="14"/>
  <c r="AL157" i="14"/>
  <c r="AN157" i="14"/>
  <c r="AP157" i="14"/>
  <c r="AU157" i="14"/>
  <c r="AW157" i="14"/>
  <c r="AM158" i="14"/>
  <c r="AO158" i="14"/>
  <c r="AV158" i="14"/>
  <c r="AL159" i="14"/>
  <c r="AN159" i="14"/>
  <c r="AP159" i="14"/>
  <c r="AU159" i="14"/>
  <c r="AW159" i="14"/>
  <c r="AM160" i="14"/>
  <c r="AO160" i="14"/>
  <c r="AV160" i="14"/>
  <c r="AL161" i="14"/>
  <c r="AN161" i="14"/>
  <c r="AP161" i="14"/>
  <c r="AU161" i="14"/>
  <c r="AW161" i="14"/>
  <c r="AM162" i="14"/>
  <c r="AO162" i="14"/>
  <c r="AV162" i="14"/>
  <c r="AL163" i="14"/>
  <c r="AN163" i="14"/>
  <c r="AP163" i="14"/>
  <c r="AU163" i="14"/>
  <c r="AW163" i="14"/>
  <c r="AM164" i="14"/>
  <c r="AO164" i="14"/>
  <c r="AV164" i="14"/>
  <c r="AL165" i="14"/>
  <c r="AN165" i="14"/>
  <c r="AP165" i="14"/>
  <c r="AU165" i="14"/>
  <c r="AW165" i="14"/>
  <c r="AM166" i="14"/>
  <c r="AO166" i="14"/>
  <c r="AV166" i="14"/>
  <c r="AL167" i="14"/>
  <c r="AN167" i="14"/>
  <c r="AP167" i="14"/>
  <c r="AU167" i="14"/>
  <c r="AW167" i="14"/>
  <c r="AM168" i="14"/>
  <c r="AO168" i="14"/>
  <c r="AV168" i="14"/>
  <c r="AL169" i="14"/>
  <c r="AN169" i="14"/>
  <c r="AP169" i="14"/>
  <c r="AU169" i="14"/>
  <c r="AW169" i="14"/>
  <c r="AM170" i="14"/>
  <c r="AO170" i="14"/>
  <c r="AV170" i="14"/>
  <c r="AL171" i="14"/>
  <c r="AN171" i="14"/>
  <c r="AP171" i="14"/>
  <c r="AU171" i="14"/>
  <c r="AW171" i="14"/>
  <c r="AM172" i="14"/>
  <c r="AO172" i="14"/>
  <c r="AV172" i="14"/>
  <c r="AL173" i="14"/>
  <c r="AN173" i="14"/>
  <c r="AP173" i="14"/>
  <c r="AU173" i="14"/>
  <c r="AW173" i="14"/>
  <c r="AM174" i="14"/>
  <c r="AO174" i="14"/>
  <c r="AV174" i="14"/>
  <c r="AL175" i="14"/>
  <c r="AM176" i="14"/>
  <c r="AO176" i="14"/>
  <c r="AV176" i="14"/>
  <c r="AL177" i="14"/>
  <c r="AN177" i="14"/>
  <c r="AP177" i="14"/>
  <c r="AU177" i="14"/>
  <c r="AW177" i="14"/>
  <c r="AM178" i="14"/>
  <c r="AO178" i="14"/>
  <c r="AV178" i="14"/>
  <c r="AL179" i="14"/>
  <c r="AN179" i="14"/>
  <c r="AP179" i="14"/>
  <c r="AU179" i="14"/>
  <c r="AW179" i="14"/>
  <c r="AM180" i="14"/>
  <c r="AO180" i="14"/>
  <c r="AV180" i="14"/>
  <c r="AL181" i="14"/>
  <c r="AN181" i="14"/>
  <c r="AP181" i="14"/>
  <c r="AU181" i="14"/>
  <c r="AW181" i="14"/>
  <c r="AM182" i="14"/>
  <c r="AO182" i="14"/>
  <c r="AV182" i="14"/>
  <c r="AL183" i="14"/>
  <c r="AN183" i="14"/>
  <c r="AP183" i="14"/>
  <c r="AU183" i="14"/>
  <c r="AW183" i="14"/>
  <c r="AM184" i="14"/>
  <c r="AO184" i="14"/>
  <c r="AV184" i="14"/>
  <c r="AL185" i="14"/>
  <c r="AN185" i="14"/>
  <c r="AP185" i="14"/>
  <c r="AU185" i="14"/>
  <c r="AW185" i="14"/>
  <c r="AM186" i="14"/>
  <c r="AO186" i="14"/>
  <c r="AV186" i="14"/>
  <c r="AL187" i="14"/>
  <c r="AN187" i="14"/>
  <c r="AP187" i="14"/>
  <c r="AU187" i="14"/>
  <c r="AW187" i="14"/>
  <c r="AM188" i="14"/>
  <c r="AO188" i="14"/>
  <c r="AV188" i="14"/>
  <c r="AL189" i="14"/>
  <c r="AN189" i="14"/>
  <c r="AP189" i="14"/>
  <c r="AU189" i="14"/>
  <c r="AW189" i="14"/>
  <c r="AM190" i="14"/>
  <c r="AO190" i="14"/>
  <c r="AV190" i="14"/>
  <c r="AL191" i="14"/>
  <c r="AM192" i="14"/>
  <c r="AO192" i="14"/>
  <c r="AV192" i="14"/>
  <c r="AL193" i="14"/>
  <c r="AN193" i="14"/>
  <c r="AP193" i="14"/>
  <c r="AU193" i="14"/>
  <c r="AW193" i="14"/>
  <c r="AM194" i="14"/>
  <c r="AO194" i="14"/>
  <c r="AV194" i="14"/>
  <c r="AL195" i="14"/>
  <c r="AN195" i="14"/>
  <c r="AP195" i="14"/>
  <c r="AU195" i="14"/>
  <c r="AW195" i="14"/>
  <c r="AM196" i="14"/>
  <c r="AO196" i="14"/>
  <c r="AV196" i="14"/>
  <c r="AL197" i="14"/>
  <c r="AN197" i="14"/>
  <c r="AP197" i="14"/>
  <c r="AU197" i="14"/>
  <c r="AW197" i="14"/>
  <c r="AM198" i="14"/>
  <c r="AO198" i="14"/>
  <c r="AV198" i="14"/>
  <c r="AM153" i="14"/>
  <c r="AV153" i="14"/>
  <c r="AL154" i="14"/>
  <c r="AN154" i="14"/>
  <c r="AP154" i="14"/>
  <c r="AU154" i="14"/>
  <c r="AW154" i="14"/>
  <c r="AM155" i="14"/>
  <c r="AO155" i="14"/>
  <c r="AV155" i="14"/>
  <c r="AL156" i="14"/>
  <c r="AM157" i="14"/>
  <c r="AO157" i="14"/>
  <c r="AV157" i="14"/>
  <c r="AL158" i="14"/>
  <c r="AN158" i="14"/>
  <c r="AP158" i="14"/>
  <c r="AU158" i="14"/>
  <c r="AW158" i="14"/>
  <c r="AM159" i="14"/>
  <c r="AO159" i="14"/>
  <c r="AV159" i="14"/>
  <c r="AL160" i="14"/>
  <c r="AN160" i="14"/>
  <c r="AP160" i="14"/>
  <c r="AU160" i="14"/>
  <c r="AW160" i="14"/>
  <c r="AM161" i="14"/>
  <c r="AO161" i="14"/>
  <c r="AV161" i="14"/>
  <c r="AL162" i="14"/>
  <c r="AN162" i="14"/>
  <c r="AP162" i="14"/>
  <c r="AU162" i="14"/>
  <c r="AW162" i="14"/>
  <c r="AM163" i="14"/>
  <c r="AO163" i="14"/>
  <c r="AV163" i="14"/>
  <c r="AL164" i="14"/>
  <c r="AN164" i="14"/>
  <c r="AP164" i="14"/>
  <c r="AU164" i="14"/>
  <c r="AW164" i="14"/>
  <c r="AM165" i="14"/>
  <c r="AO165" i="14"/>
  <c r="AV165" i="14"/>
  <c r="AL166" i="14"/>
  <c r="AN166" i="14"/>
  <c r="AP166" i="14"/>
  <c r="AU166" i="14"/>
  <c r="AW166" i="14"/>
  <c r="AM167" i="14"/>
  <c r="AO167" i="14"/>
  <c r="AV167" i="14"/>
  <c r="AL168" i="14"/>
  <c r="AN168" i="14"/>
  <c r="AP168" i="14"/>
  <c r="AU168" i="14"/>
  <c r="AW168" i="14"/>
  <c r="AM169" i="14"/>
  <c r="AO169" i="14"/>
  <c r="AV169" i="14"/>
  <c r="AL170" i="14"/>
  <c r="AN170" i="14"/>
  <c r="AP170" i="14"/>
  <c r="AU170" i="14"/>
  <c r="AW170" i="14"/>
  <c r="AM171" i="14"/>
  <c r="AO171" i="14"/>
  <c r="AV171" i="14"/>
  <c r="AL172" i="14"/>
  <c r="AN172" i="14"/>
  <c r="AP172" i="14"/>
  <c r="AU172" i="14"/>
  <c r="AW172" i="14"/>
  <c r="AM173" i="14"/>
  <c r="AO173" i="14"/>
  <c r="AV173" i="14"/>
  <c r="AL174" i="14"/>
  <c r="AN174" i="14"/>
  <c r="AP174" i="14"/>
  <c r="AU174" i="14"/>
  <c r="AW174" i="14"/>
  <c r="AL176" i="14"/>
  <c r="AN176" i="14"/>
  <c r="AP176" i="14"/>
  <c r="AU176" i="14"/>
  <c r="AW176" i="14"/>
  <c r="AM177" i="14"/>
  <c r="AO177" i="14"/>
  <c r="AV177" i="14"/>
  <c r="AL178" i="14"/>
  <c r="AN178" i="14"/>
  <c r="AP178" i="14"/>
  <c r="AU178" i="14"/>
  <c r="AW178" i="14"/>
  <c r="AM179" i="14"/>
  <c r="AO179" i="14"/>
  <c r="AV179" i="14"/>
  <c r="AL180" i="14"/>
  <c r="AN180" i="14"/>
  <c r="AP180" i="14"/>
  <c r="AU180" i="14"/>
  <c r="AW180" i="14"/>
  <c r="AM181" i="14"/>
  <c r="AO181" i="14"/>
  <c r="AV181" i="14"/>
  <c r="AL182" i="14"/>
  <c r="AN182" i="14"/>
  <c r="AP182" i="14"/>
  <c r="AU182" i="14"/>
  <c r="AW182" i="14"/>
  <c r="AM183" i="14"/>
  <c r="AO183" i="14"/>
  <c r="AV183" i="14"/>
  <c r="AL184" i="14"/>
  <c r="AN184" i="14"/>
  <c r="AP184" i="14"/>
  <c r="AU184" i="14"/>
  <c r="AW184" i="14"/>
  <c r="AM185" i="14"/>
  <c r="AO185" i="14"/>
  <c r="AV185" i="14"/>
  <c r="AL186" i="14"/>
  <c r="AN186" i="14"/>
  <c r="AP186" i="14"/>
  <c r="AU186" i="14"/>
  <c r="AW186" i="14"/>
  <c r="AM187" i="14"/>
  <c r="AO187" i="14"/>
  <c r="AV187" i="14"/>
  <c r="AL188" i="14"/>
  <c r="AN188" i="14"/>
  <c r="AP188" i="14"/>
  <c r="AU188" i="14"/>
  <c r="AW188" i="14"/>
  <c r="AM189" i="14"/>
  <c r="AO189" i="14"/>
  <c r="AV189" i="14"/>
  <c r="AL190" i="14"/>
  <c r="AN190" i="14"/>
  <c r="AP190" i="14"/>
  <c r="AU190" i="14"/>
  <c r="AW190" i="14"/>
  <c r="AL192" i="14"/>
  <c r="AN192" i="14"/>
  <c r="AP192" i="14"/>
  <c r="AU192" i="14"/>
  <c r="AW192" i="14"/>
  <c r="AM193" i="14"/>
  <c r="AO193" i="14"/>
  <c r="AV193" i="14"/>
  <c r="AL194" i="14"/>
  <c r="AN194" i="14"/>
  <c r="AP194" i="14"/>
  <c r="AU194" i="14"/>
  <c r="AW194" i="14"/>
  <c r="AM195" i="14"/>
  <c r="AO195" i="14"/>
  <c r="AV195" i="14"/>
  <c r="AL196" i="14"/>
  <c r="AN196" i="14"/>
  <c r="AP196" i="14"/>
  <c r="AU196" i="14"/>
  <c r="AW196" i="14"/>
  <c r="AM197" i="14"/>
  <c r="AO197" i="14"/>
  <c r="AV197" i="14"/>
  <c r="AL198" i="14"/>
  <c r="AN198" i="14"/>
  <c r="AP198" i="14"/>
  <c r="AU198" i="14"/>
  <c r="AW198" i="14"/>
  <c r="U86" i="14"/>
  <c r="U89" i="14"/>
  <c r="K12" i="12" l="1"/>
  <c r="I30" i="16"/>
  <c r="H30" i="16"/>
  <c r="G30" i="16"/>
  <c r="K30" i="16"/>
  <c r="J30" i="16"/>
  <c r="H30" i="14"/>
  <c r="K30" i="14"/>
  <c r="I30" i="12"/>
  <c r="H30" i="12"/>
  <c r="G30" i="12"/>
  <c r="K30" i="12"/>
  <c r="H10" i="12"/>
  <c r="D10" i="7"/>
  <c r="J4" i="12"/>
  <c r="J5" i="12"/>
  <c r="G7" i="12"/>
  <c r="H7" i="12"/>
  <c r="G8" i="12"/>
  <c r="H8" i="12"/>
  <c r="G9" i="12"/>
  <c r="H9" i="12"/>
  <c r="G10" i="12"/>
  <c r="J12" i="12"/>
  <c r="L12" i="12"/>
  <c r="F13" i="12"/>
  <c r="I13" i="12"/>
  <c r="J13" i="12"/>
  <c r="L13" i="12"/>
  <c r="N13" i="12"/>
  <c r="F14" i="12"/>
  <c r="G14" i="12"/>
  <c r="H14" i="12"/>
  <c r="I14" i="12"/>
  <c r="J14" i="12"/>
  <c r="K14" i="12"/>
  <c r="L14" i="12"/>
  <c r="N14" i="12"/>
  <c r="E15" i="12"/>
  <c r="F15" i="12"/>
  <c r="G15" i="12"/>
  <c r="H15" i="12"/>
  <c r="I15" i="12"/>
  <c r="J15" i="12"/>
  <c r="K15" i="12"/>
  <c r="L15" i="12"/>
  <c r="M15" i="12"/>
  <c r="N15" i="12"/>
  <c r="C16" i="12"/>
  <c r="E16" i="12"/>
  <c r="F16" i="12"/>
  <c r="G16" i="12"/>
  <c r="H16" i="12"/>
  <c r="I16" i="12"/>
  <c r="J16" i="12"/>
  <c r="K16" i="12"/>
  <c r="C17" i="12"/>
  <c r="E17" i="12"/>
  <c r="F17" i="12"/>
  <c r="G17" i="12"/>
  <c r="H17" i="12"/>
  <c r="I17" i="12"/>
  <c r="J17" i="12"/>
  <c r="K17" i="12"/>
  <c r="C18" i="12"/>
  <c r="E18" i="12"/>
  <c r="F18" i="12"/>
  <c r="G18" i="12"/>
  <c r="H18" i="12"/>
  <c r="I18" i="12"/>
  <c r="J18" i="12"/>
  <c r="K18" i="12"/>
  <c r="C19" i="12"/>
  <c r="E19" i="12"/>
  <c r="F19" i="12"/>
  <c r="G19" i="12"/>
  <c r="H19" i="12"/>
  <c r="I19" i="12"/>
  <c r="J19" i="12"/>
  <c r="K19" i="12"/>
  <c r="C20" i="12"/>
  <c r="E20" i="12"/>
  <c r="F20" i="12"/>
  <c r="G20" i="12"/>
  <c r="H20" i="12"/>
  <c r="I20" i="12"/>
  <c r="J20" i="12"/>
  <c r="K20" i="12"/>
  <c r="C21" i="12"/>
  <c r="E21" i="12"/>
  <c r="F21" i="12"/>
  <c r="G21" i="12"/>
  <c r="H21" i="12"/>
  <c r="I21" i="12"/>
  <c r="J21" i="12"/>
  <c r="K21" i="12"/>
  <c r="O21" i="12"/>
  <c r="P21" i="12"/>
  <c r="Q21" i="12"/>
  <c r="R21" i="12"/>
  <c r="C22" i="12"/>
  <c r="E22" i="12"/>
  <c r="F22" i="12"/>
  <c r="G22" i="12"/>
  <c r="H22" i="12"/>
  <c r="I22" i="12"/>
  <c r="J22" i="12"/>
  <c r="K22" i="12"/>
  <c r="C23" i="12"/>
  <c r="E23" i="12"/>
  <c r="F23" i="12"/>
  <c r="G23" i="12"/>
  <c r="H23" i="12"/>
  <c r="I23" i="12"/>
  <c r="J23" i="12"/>
  <c r="K23" i="12"/>
  <c r="C24" i="12"/>
  <c r="E24" i="12"/>
  <c r="F24" i="12"/>
  <c r="G24" i="12"/>
  <c r="H24" i="12"/>
  <c r="I24" i="12"/>
  <c r="J24" i="12"/>
  <c r="K24" i="12"/>
  <c r="C25" i="12"/>
  <c r="E25" i="12"/>
  <c r="F25" i="12"/>
  <c r="G25" i="12"/>
  <c r="H25" i="12"/>
  <c r="I25" i="12"/>
  <c r="J25" i="12"/>
  <c r="K25" i="12"/>
  <c r="C26" i="12"/>
  <c r="E26" i="12"/>
  <c r="F26" i="12"/>
  <c r="G26" i="12"/>
  <c r="H26" i="12"/>
  <c r="I26" i="12"/>
  <c r="J26" i="12"/>
  <c r="K26" i="12"/>
  <c r="C27" i="12"/>
  <c r="E27" i="12"/>
  <c r="F27" i="12"/>
  <c r="G27" i="12"/>
  <c r="H27" i="12"/>
  <c r="I27" i="12"/>
  <c r="J27" i="12"/>
  <c r="K27" i="12"/>
  <c r="C28" i="12"/>
  <c r="E28" i="12"/>
  <c r="F28" i="12"/>
  <c r="G28" i="12"/>
  <c r="H28" i="12"/>
  <c r="I28" i="12"/>
  <c r="J28" i="12"/>
  <c r="K28" i="12"/>
  <c r="E29" i="12"/>
  <c r="F29" i="12"/>
  <c r="G29" i="12"/>
  <c r="H29" i="12"/>
  <c r="I29" i="12"/>
  <c r="J29" i="12"/>
  <c r="K29" i="12"/>
  <c r="E30" i="12"/>
  <c r="I31" i="12"/>
  <c r="I32" i="12"/>
  <c r="J35" i="12"/>
  <c r="L36" i="12"/>
  <c r="J37" i="12"/>
  <c r="K37" i="12"/>
  <c r="L37" i="12"/>
  <c r="M37" i="12"/>
  <c r="J38" i="12"/>
  <c r="J39" i="12"/>
  <c r="J40" i="12"/>
  <c r="J41" i="12"/>
  <c r="J42" i="12"/>
  <c r="AL42" i="12"/>
  <c r="AG42" i="12" s="1"/>
  <c r="AM42" i="12"/>
  <c r="AF42" i="12" s="1"/>
  <c r="AS42" i="12"/>
  <c r="AT42" i="12"/>
  <c r="J43" i="12"/>
  <c r="AL43" i="12"/>
  <c r="J44" i="12"/>
  <c r="AL44" i="12"/>
  <c r="J45" i="12"/>
  <c r="AL45" i="12"/>
  <c r="AG54" i="12" s="1"/>
  <c r="J46" i="12"/>
  <c r="AL46" i="12"/>
  <c r="AG53" i="12" s="1"/>
  <c r="J47" i="12"/>
  <c r="AL47" i="12"/>
  <c r="J48" i="12"/>
  <c r="AL48" i="12"/>
  <c r="AG51" i="12" s="1"/>
  <c r="J49" i="12"/>
  <c r="AL49" i="12"/>
  <c r="AG50" i="12" s="1"/>
  <c r="J50" i="12"/>
  <c r="AL50" i="12"/>
  <c r="AG49" i="12" s="1"/>
  <c r="F51" i="12"/>
  <c r="J51" i="12"/>
  <c r="AL51" i="12"/>
  <c r="AG48" i="12" s="1"/>
  <c r="AG52" i="12"/>
  <c r="AL52" i="12"/>
  <c r="AG47" i="12" s="1"/>
  <c r="AL53" i="12"/>
  <c r="AG46" i="12" s="1"/>
  <c r="AL54" i="12"/>
  <c r="AG45" i="12" s="1"/>
  <c r="AG55" i="12"/>
  <c r="AL55" i="12"/>
  <c r="AG44" i="12" s="1"/>
  <c r="AG56" i="12"/>
  <c r="AL56" i="12"/>
  <c r="AG43" i="12" s="1"/>
  <c r="AO56" i="12"/>
  <c r="AP56" i="12"/>
  <c r="AQ60" i="12"/>
  <c r="AH61" i="12"/>
  <c r="AQ61" i="12"/>
  <c r="AH62" i="12"/>
  <c r="AI62" i="12" s="1"/>
  <c r="AQ62" i="12"/>
  <c r="AH63" i="12"/>
  <c r="AQ63" i="12"/>
  <c r="AH64" i="12"/>
  <c r="AI64" i="12" s="1"/>
  <c r="AQ64" i="12"/>
  <c r="Y65" i="12"/>
  <c r="AH65" i="12"/>
  <c r="AQ65" i="12"/>
  <c r="T66" i="12"/>
  <c r="U66" i="12"/>
  <c r="Y66" i="12"/>
  <c r="AH66" i="12"/>
  <c r="AQ66" i="12"/>
  <c r="T67" i="12"/>
  <c r="U67" i="12"/>
  <c r="Y67" i="12"/>
  <c r="AH67" i="12"/>
  <c r="AI67" i="12" s="1"/>
  <c r="T68" i="12"/>
  <c r="U68" i="12"/>
  <c r="Y68" i="12"/>
  <c r="AH68" i="12"/>
  <c r="AI68" i="12" s="1"/>
  <c r="AQ68" i="12"/>
  <c r="T69" i="12"/>
  <c r="T65" i="12" s="1"/>
  <c r="U69" i="12"/>
  <c r="U65" i="12" s="1"/>
  <c r="Y69" i="12"/>
  <c r="AH69" i="12"/>
  <c r="AQ69" i="12"/>
  <c r="I70" i="12"/>
  <c r="Y70" i="12"/>
  <c r="AH70" i="12"/>
  <c r="AI70" i="12" s="1"/>
  <c r="AQ70" i="12"/>
  <c r="Y71" i="12"/>
  <c r="AH71" i="12"/>
  <c r="AH46" i="12" s="1"/>
  <c r="AQ71" i="12"/>
  <c r="Y72" i="12"/>
  <c r="AH72" i="12"/>
  <c r="AI72" i="12" s="1"/>
  <c r="AQ72" i="12"/>
  <c r="T73" i="12"/>
  <c r="U73" i="12"/>
  <c r="Y73" i="12"/>
  <c r="AH73" i="12"/>
  <c r="AI73" i="12" s="1"/>
  <c r="AQ73" i="12"/>
  <c r="T74" i="12"/>
  <c r="Y74" i="12"/>
  <c r="Z74" i="12"/>
  <c r="AH74" i="12"/>
  <c r="AI74" i="12" s="1"/>
  <c r="AQ74" i="12"/>
  <c r="Y75" i="12"/>
  <c r="Z75" i="12"/>
  <c r="AQ75" i="12"/>
  <c r="T76" i="12"/>
  <c r="U76" i="12"/>
  <c r="Y76" i="12"/>
  <c r="Z76" i="12"/>
  <c r="AQ76" i="12"/>
  <c r="T77" i="12"/>
  <c r="T75" i="12" s="1"/>
  <c r="Y77" i="12"/>
  <c r="AQ77" i="12"/>
  <c r="AQ78" i="12"/>
  <c r="T79" i="12"/>
  <c r="U79" i="12"/>
  <c r="AQ79" i="12"/>
  <c r="T80" i="12"/>
  <c r="T81" i="12" s="1"/>
  <c r="T82" i="12" s="1"/>
  <c r="AQ80" i="12"/>
  <c r="AQ81" i="12"/>
  <c r="AQ82" i="12"/>
  <c r="AA83" i="12"/>
  <c r="AQ83" i="12"/>
  <c r="T84" i="12"/>
  <c r="U84" i="12"/>
  <c r="AA84" i="12"/>
  <c r="AA85" i="12" s="1"/>
  <c r="AA86" i="12" s="1"/>
  <c r="AA87" i="12" s="1"/>
  <c r="AQ84" i="12"/>
  <c r="AQ85" i="12"/>
  <c r="AQ86" i="12"/>
  <c r="AQ87" i="12"/>
  <c r="AQ88" i="12"/>
  <c r="AQ89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103" i="12"/>
  <c r="I104" i="12"/>
  <c r="AQ104" i="12"/>
  <c r="I105" i="12"/>
  <c r="AQ105" i="12"/>
  <c r="I106" i="12"/>
  <c r="AQ106" i="12"/>
  <c r="I107" i="12"/>
  <c r="AQ107" i="12"/>
  <c r="I108" i="12"/>
  <c r="AQ108" i="12"/>
  <c r="AQ109" i="12"/>
  <c r="AQ110" i="12"/>
  <c r="AQ111" i="12"/>
  <c r="AQ112" i="12"/>
  <c r="AQ113" i="12"/>
  <c r="AQ114" i="12"/>
  <c r="AQ115" i="12"/>
  <c r="AQ116" i="12"/>
  <c r="AQ117" i="12"/>
  <c r="AQ118" i="12"/>
  <c r="AQ119" i="12"/>
  <c r="AQ120" i="12"/>
  <c r="AQ121" i="12"/>
  <c r="AQ122" i="12"/>
  <c r="AQ123" i="12"/>
  <c r="AQ124" i="12"/>
  <c r="AQ125" i="12"/>
  <c r="AQ126" i="12"/>
  <c r="AQ127" i="12"/>
  <c r="AQ128" i="12"/>
  <c r="AQ129" i="12"/>
  <c r="AQ130" i="12"/>
  <c r="H131" i="12"/>
  <c r="AQ131" i="12"/>
  <c r="H132" i="12"/>
  <c r="AQ132" i="12"/>
  <c r="AQ133" i="12"/>
  <c r="AQ134" i="12"/>
  <c r="AQ135" i="12"/>
  <c r="AQ136" i="12"/>
  <c r="AQ137" i="12"/>
  <c r="AQ138" i="12"/>
  <c r="AQ139" i="12"/>
  <c r="AQ140" i="12"/>
  <c r="AQ141" i="12"/>
  <c r="AQ142" i="12"/>
  <c r="AQ143" i="12"/>
  <c r="AQ144" i="12"/>
  <c r="AQ145" i="12"/>
  <c r="AQ146" i="12"/>
  <c r="AQ147" i="12"/>
  <c r="AQ148" i="12"/>
  <c r="AQ149" i="12"/>
  <c r="AQ150" i="12"/>
  <c r="AQ151" i="12"/>
  <c r="AQ152" i="12"/>
  <c r="AQ153" i="12"/>
  <c r="AQ154" i="12"/>
  <c r="AQ155" i="12"/>
  <c r="AQ156" i="12"/>
  <c r="AQ157" i="12"/>
  <c r="AQ158" i="12"/>
  <c r="AQ159" i="12"/>
  <c r="AQ160" i="12"/>
  <c r="AQ161" i="12"/>
  <c r="AQ162" i="12"/>
  <c r="AQ163" i="12"/>
  <c r="AQ164" i="12"/>
  <c r="AQ165" i="12"/>
  <c r="AQ166" i="12"/>
  <c r="AQ167" i="12"/>
  <c r="AQ168" i="12"/>
  <c r="AQ169" i="12"/>
  <c r="AQ170" i="12"/>
  <c r="AQ171" i="12"/>
  <c r="AQ172" i="12"/>
  <c r="AQ173" i="12"/>
  <c r="AQ174" i="12"/>
  <c r="AQ175" i="12"/>
  <c r="AQ176" i="12"/>
  <c r="AQ177" i="12"/>
  <c r="AQ178" i="12"/>
  <c r="AQ179" i="12"/>
  <c r="AQ180" i="12"/>
  <c r="AQ181" i="12"/>
  <c r="AQ182" i="12"/>
  <c r="AQ183" i="12"/>
  <c r="AQ184" i="12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O8" i="12"/>
  <c r="P8" i="12"/>
  <c r="Q8" i="12"/>
  <c r="R8" i="12"/>
  <c r="U74" i="12" l="1"/>
  <c r="T87" i="12"/>
  <c r="T88" i="12" s="1"/>
  <c r="AI71" i="12"/>
  <c r="U75" i="12"/>
  <c r="U77" i="12" s="1"/>
  <c r="U78" i="12" s="1"/>
  <c r="U83" i="12" s="1"/>
  <c r="I30" i="14"/>
  <c r="J30" i="14"/>
  <c r="J30" i="12"/>
  <c r="T78" i="12"/>
  <c r="T83" i="12" s="1"/>
  <c r="F30" i="16"/>
  <c r="F30" i="14"/>
  <c r="F30" i="12"/>
  <c r="U81" i="12"/>
  <c r="U80" i="12"/>
  <c r="U82" i="12" s="1"/>
  <c r="T86" i="12"/>
  <c r="T89" i="12" s="1"/>
  <c r="AH43" i="12"/>
  <c r="AK56" i="12"/>
  <c r="AH44" i="12"/>
  <c r="AK55" i="12"/>
  <c r="AH45" i="12"/>
  <c r="AK54" i="12"/>
  <c r="AK51" i="12"/>
  <c r="AH48" i="12"/>
  <c r="AK48" i="12"/>
  <c r="AH51" i="12"/>
  <c r="AH52" i="12"/>
  <c r="AK47" i="12"/>
  <c r="AK45" i="12"/>
  <c r="AK43" i="12"/>
  <c r="AH56" i="12"/>
  <c r="AH54" i="12"/>
  <c r="AH47" i="12"/>
  <c r="AK52" i="12"/>
  <c r="AI69" i="12"/>
  <c r="AH49" i="12"/>
  <c r="AK50" i="12"/>
  <c r="AK49" i="12"/>
  <c r="AH50" i="12"/>
  <c r="AI66" i="12"/>
  <c r="AI65" i="12"/>
  <c r="AK46" i="12"/>
  <c r="AH53" i="12"/>
  <c r="AI63" i="12"/>
  <c r="AK44" i="12"/>
  <c r="AI61" i="12"/>
  <c r="AH55" i="12"/>
  <c r="AK53" i="12"/>
  <c r="G30" i="14" l="1"/>
  <c r="AM56" i="16"/>
  <c r="K51" i="14"/>
  <c r="L22" i="16"/>
  <c r="AM48" i="16"/>
  <c r="L30" i="16"/>
  <c r="L29" i="16"/>
  <c r="K41" i="16"/>
  <c r="K49" i="16"/>
  <c r="L27" i="16"/>
  <c r="L30" i="14"/>
  <c r="AO60" i="12"/>
  <c r="AM61" i="12"/>
  <c r="AO61" i="12"/>
  <c r="AV61" i="12"/>
  <c r="AL62" i="12"/>
  <c r="AN62" i="12"/>
  <c r="AP62" i="12"/>
  <c r="AU62" i="12"/>
  <c r="AW62" i="12"/>
  <c r="AM63" i="12"/>
  <c r="AO63" i="12"/>
  <c r="AV63" i="12"/>
  <c r="AL64" i="12"/>
  <c r="AN64" i="12"/>
  <c r="AP64" i="12"/>
  <c r="AU64" i="12"/>
  <c r="AW64" i="12"/>
  <c r="AM65" i="12"/>
  <c r="AO65" i="12"/>
  <c r="AV65" i="12"/>
  <c r="AM66" i="12"/>
  <c r="AO66" i="12"/>
  <c r="AV66" i="12"/>
  <c r="AL67" i="12"/>
  <c r="AL68" i="12"/>
  <c r="AN68" i="12"/>
  <c r="AP68" i="12"/>
  <c r="AU68" i="12"/>
  <c r="AW68" i="12"/>
  <c r="AM69" i="12"/>
  <c r="AO69" i="12"/>
  <c r="AV69" i="12"/>
  <c r="AL70" i="12"/>
  <c r="AL71" i="12"/>
  <c r="AL60" i="12"/>
  <c r="AN60" i="12"/>
  <c r="AP60" i="12"/>
  <c r="AL61" i="12"/>
  <c r="AN61" i="12"/>
  <c r="AP61" i="12"/>
  <c r="AU61" i="12"/>
  <c r="AW61" i="12"/>
  <c r="AM62" i="12"/>
  <c r="AO62" i="12"/>
  <c r="AV62" i="12"/>
  <c r="AL63" i="12"/>
  <c r="AN63" i="12"/>
  <c r="AP63" i="12"/>
  <c r="AU63" i="12"/>
  <c r="AW63" i="12"/>
  <c r="AM64" i="12"/>
  <c r="AO64" i="12"/>
  <c r="AV64" i="12"/>
  <c r="AL65" i="12"/>
  <c r="AN65" i="12"/>
  <c r="AP65" i="12"/>
  <c r="AU65" i="12"/>
  <c r="AW65" i="12"/>
  <c r="AL66" i="12"/>
  <c r="AN66" i="12"/>
  <c r="AP66" i="12"/>
  <c r="AU66" i="12"/>
  <c r="AW66" i="12"/>
  <c r="AM68" i="12"/>
  <c r="AO68" i="12"/>
  <c r="AV68" i="12"/>
  <c r="AL69" i="12"/>
  <c r="AN69" i="12"/>
  <c r="AP69" i="12"/>
  <c r="AU69" i="12"/>
  <c r="AW69" i="12"/>
  <c r="AN71" i="12"/>
  <c r="AP71" i="12"/>
  <c r="AU71" i="12"/>
  <c r="AW71" i="12"/>
  <c r="AL72" i="12"/>
  <c r="AN72" i="12"/>
  <c r="AP72" i="12"/>
  <c r="AU72" i="12"/>
  <c r="AW72" i="12"/>
  <c r="AL73" i="12"/>
  <c r="AL74" i="12"/>
  <c r="AN74" i="12"/>
  <c r="AP74" i="12"/>
  <c r="AU74" i="12"/>
  <c r="AW74" i="12"/>
  <c r="AL75" i="12"/>
  <c r="AN75" i="12"/>
  <c r="AP75" i="12"/>
  <c r="AU75" i="12"/>
  <c r="AW75" i="12"/>
  <c r="AL76" i="12"/>
  <c r="AN76" i="12"/>
  <c r="AP76" i="12"/>
  <c r="AU76" i="12"/>
  <c r="AW76" i="12"/>
  <c r="AM77" i="12"/>
  <c r="AO77" i="12"/>
  <c r="AV77" i="12"/>
  <c r="AL78" i="12"/>
  <c r="AM79" i="12"/>
  <c r="AO79" i="12"/>
  <c r="AV79" i="12"/>
  <c r="AL80" i="12"/>
  <c r="AN80" i="12"/>
  <c r="AP80" i="12"/>
  <c r="AU80" i="12"/>
  <c r="AW80" i="12"/>
  <c r="AM81" i="12"/>
  <c r="AO81" i="12"/>
  <c r="AV81" i="12"/>
  <c r="AL82" i="12"/>
  <c r="AN82" i="12"/>
  <c r="AP82" i="12"/>
  <c r="AU82" i="12"/>
  <c r="AW82" i="12"/>
  <c r="AL83" i="12"/>
  <c r="AN83" i="12"/>
  <c r="AP83" i="12"/>
  <c r="AU83" i="12"/>
  <c r="AW83" i="12"/>
  <c r="AL84" i="12"/>
  <c r="AM85" i="12"/>
  <c r="AO85" i="12"/>
  <c r="AV85" i="12"/>
  <c r="AL86" i="12"/>
  <c r="AN86" i="12"/>
  <c r="AP86" i="12"/>
  <c r="AU86" i="12"/>
  <c r="AW86" i="12"/>
  <c r="AL87" i="12"/>
  <c r="AN87" i="12"/>
  <c r="AP87" i="12"/>
  <c r="AU87" i="12"/>
  <c r="AW87" i="12"/>
  <c r="AL88" i="12"/>
  <c r="AN88" i="12"/>
  <c r="AP88" i="12"/>
  <c r="AU88" i="12"/>
  <c r="AW88" i="12"/>
  <c r="AL89" i="12"/>
  <c r="AN89" i="12"/>
  <c r="AP89" i="12"/>
  <c r="AU89" i="12"/>
  <c r="AW89" i="12"/>
  <c r="AL90" i="12"/>
  <c r="AN90" i="12"/>
  <c r="AP90" i="12"/>
  <c r="AU90" i="12"/>
  <c r="AW90" i="12"/>
  <c r="AL91" i="12"/>
  <c r="AN91" i="12"/>
  <c r="AP91" i="12"/>
  <c r="AU91" i="12"/>
  <c r="AW91" i="12"/>
  <c r="AM92" i="12"/>
  <c r="AO92" i="12"/>
  <c r="AV92" i="12"/>
  <c r="AL93" i="12"/>
  <c r="AL94" i="12"/>
  <c r="AN94" i="12"/>
  <c r="AP94" i="12"/>
  <c r="AU94" i="12"/>
  <c r="AW94" i="12"/>
  <c r="AL95" i="12"/>
  <c r="AN95" i="12"/>
  <c r="AP95" i="12"/>
  <c r="AU95" i="12"/>
  <c r="AW95" i="12"/>
  <c r="AM96" i="12"/>
  <c r="AO96" i="12"/>
  <c r="AV96" i="12"/>
  <c r="AM71" i="12"/>
  <c r="AO71" i="12"/>
  <c r="AV71" i="12"/>
  <c r="AM72" i="12"/>
  <c r="AO72" i="12"/>
  <c r="AV72" i="12"/>
  <c r="AM74" i="12"/>
  <c r="AO74" i="12"/>
  <c r="AV74" i="12"/>
  <c r="AM75" i="12"/>
  <c r="AO75" i="12"/>
  <c r="AV75" i="12"/>
  <c r="AM76" i="12"/>
  <c r="AO76" i="12"/>
  <c r="AV76" i="12"/>
  <c r="AL77" i="12"/>
  <c r="AN77" i="12"/>
  <c r="AP77" i="12"/>
  <c r="AU77" i="12"/>
  <c r="AW77" i="12"/>
  <c r="AL79" i="12"/>
  <c r="AN79" i="12"/>
  <c r="AP79" i="12"/>
  <c r="AU79" i="12"/>
  <c r="AW79" i="12"/>
  <c r="AM80" i="12"/>
  <c r="AO80" i="12"/>
  <c r="AV80" i="12"/>
  <c r="AL81" i="12"/>
  <c r="AN81" i="12"/>
  <c r="AP81" i="12"/>
  <c r="AU81" i="12"/>
  <c r="AW81" i="12"/>
  <c r="AM82" i="12"/>
  <c r="AO82" i="12"/>
  <c r="AV82" i="12"/>
  <c r="AM83" i="12"/>
  <c r="AO83" i="12"/>
  <c r="AV83" i="12"/>
  <c r="AL85" i="12"/>
  <c r="AN85" i="12"/>
  <c r="AP85" i="12"/>
  <c r="AU85" i="12"/>
  <c r="AW85" i="12"/>
  <c r="AM86" i="12"/>
  <c r="AO86" i="12"/>
  <c r="AV86" i="12"/>
  <c r="AM87" i="12"/>
  <c r="AO87" i="12"/>
  <c r="AV87" i="12"/>
  <c r="AM88" i="12"/>
  <c r="AO88" i="12"/>
  <c r="AV88" i="12"/>
  <c r="AM89" i="12"/>
  <c r="AO89" i="12"/>
  <c r="AV89" i="12"/>
  <c r="AM90" i="12"/>
  <c r="AO90" i="12"/>
  <c r="AV90" i="12"/>
  <c r="AM91" i="12"/>
  <c r="AO91" i="12"/>
  <c r="AV91" i="12"/>
  <c r="AL92" i="12"/>
  <c r="AN92" i="12"/>
  <c r="AP92" i="12"/>
  <c r="AU92" i="12"/>
  <c r="AW92" i="12"/>
  <c r="AM94" i="12"/>
  <c r="AO94" i="12"/>
  <c r="AV94" i="12"/>
  <c r="AM95" i="12"/>
  <c r="AO95" i="12"/>
  <c r="AV95" i="12"/>
  <c r="AL96" i="12"/>
  <c r="AN96" i="12"/>
  <c r="AP96" i="12"/>
  <c r="AU96" i="12"/>
  <c r="AW96" i="12"/>
  <c r="AL97" i="12"/>
  <c r="AN97" i="12"/>
  <c r="AP97" i="12"/>
  <c r="AU97" i="12"/>
  <c r="AW97" i="12"/>
  <c r="AL98" i="12"/>
  <c r="AN98" i="12"/>
  <c r="AP98" i="12"/>
  <c r="AU98" i="12"/>
  <c r="AW98" i="12"/>
  <c r="AM99" i="12"/>
  <c r="AO99" i="12"/>
  <c r="AV99" i="12"/>
  <c r="AM100" i="12"/>
  <c r="AO100" i="12"/>
  <c r="AV100" i="12"/>
  <c r="AM101" i="12"/>
  <c r="AO101" i="12"/>
  <c r="AV101" i="12"/>
  <c r="AM102" i="12"/>
  <c r="AO102" i="12"/>
  <c r="AV102" i="12"/>
  <c r="AL103" i="12"/>
  <c r="AN103" i="12"/>
  <c r="AP103" i="12"/>
  <c r="AU103" i="12"/>
  <c r="AW103" i="12"/>
  <c r="AM104" i="12"/>
  <c r="AO104" i="12"/>
  <c r="AV104" i="12"/>
  <c r="AL105" i="12"/>
  <c r="AM106" i="12"/>
  <c r="AO106" i="12"/>
  <c r="AV106" i="12"/>
  <c r="AL107" i="12"/>
  <c r="AN107" i="12"/>
  <c r="AP107" i="12"/>
  <c r="AU107" i="12"/>
  <c r="AW107" i="12"/>
  <c r="AM108" i="12"/>
  <c r="AO108" i="12"/>
  <c r="AV108" i="12"/>
  <c r="AM109" i="12"/>
  <c r="AO109" i="12"/>
  <c r="AM97" i="12"/>
  <c r="AO98" i="12"/>
  <c r="AV98" i="12"/>
  <c r="AN99" i="12"/>
  <c r="AW99" i="12"/>
  <c r="AN100" i="12"/>
  <c r="AW100" i="12"/>
  <c r="AN101" i="12"/>
  <c r="AW101" i="12"/>
  <c r="AN102" i="12"/>
  <c r="AW102" i="12"/>
  <c r="AO103" i="12"/>
  <c r="AV103" i="12"/>
  <c r="AN104" i="12"/>
  <c r="AW104" i="12"/>
  <c r="AL106" i="12"/>
  <c r="AP106" i="12"/>
  <c r="AU106" i="12"/>
  <c r="AO107" i="12"/>
  <c r="AV107" i="12"/>
  <c r="AN108" i="12"/>
  <c r="AW108" i="12"/>
  <c r="AN109" i="12"/>
  <c r="AV109" i="12"/>
  <c r="AL110" i="12"/>
  <c r="AN110" i="12"/>
  <c r="AP110" i="12"/>
  <c r="AU110" i="12"/>
  <c r="AW110" i="12"/>
  <c r="AM111" i="12"/>
  <c r="AO111" i="12"/>
  <c r="AV111" i="12"/>
  <c r="AL112" i="12"/>
  <c r="AN112" i="12"/>
  <c r="AP112" i="12"/>
  <c r="AU112" i="12"/>
  <c r="AW112" i="12"/>
  <c r="AM113" i="12"/>
  <c r="AO113" i="12"/>
  <c r="AV113" i="12"/>
  <c r="AL114" i="12"/>
  <c r="AN114" i="12"/>
  <c r="AP114" i="12"/>
  <c r="AU114" i="12"/>
  <c r="AW114" i="12"/>
  <c r="AM115" i="12"/>
  <c r="AO115" i="12"/>
  <c r="AV115" i="12"/>
  <c r="AL116" i="12"/>
  <c r="AN116" i="12"/>
  <c r="AP116" i="12"/>
  <c r="AU116" i="12"/>
  <c r="AW116" i="12"/>
  <c r="AM117" i="12"/>
  <c r="AO117" i="12"/>
  <c r="AV117" i="12"/>
  <c r="AM118" i="12"/>
  <c r="AO118" i="12"/>
  <c r="AV118" i="12"/>
  <c r="AM119" i="12"/>
  <c r="AO119" i="12"/>
  <c r="AV119" i="12"/>
  <c r="AL120" i="12"/>
  <c r="AN120" i="12"/>
  <c r="AP120" i="12"/>
  <c r="AU120" i="12"/>
  <c r="AW120" i="12"/>
  <c r="AM121" i="12"/>
  <c r="AO121" i="12"/>
  <c r="AV121" i="12"/>
  <c r="AL122" i="12"/>
  <c r="AM123" i="12"/>
  <c r="AO123" i="12"/>
  <c r="AV123" i="12"/>
  <c r="AL124" i="12"/>
  <c r="AN124" i="12"/>
  <c r="AP124" i="12"/>
  <c r="AU124" i="12"/>
  <c r="AW124" i="12"/>
  <c r="AM125" i="12"/>
  <c r="AO125" i="12"/>
  <c r="AV125" i="12"/>
  <c r="AL126" i="12"/>
  <c r="AN126" i="12"/>
  <c r="AP126" i="12"/>
  <c r="AU126" i="12"/>
  <c r="AW126" i="12"/>
  <c r="AL127" i="12"/>
  <c r="AN127" i="12"/>
  <c r="AP127" i="12"/>
  <c r="AU127" i="12"/>
  <c r="AW127" i="12"/>
  <c r="AL128" i="12"/>
  <c r="AN128" i="12"/>
  <c r="AP128" i="12"/>
  <c r="AU128" i="12"/>
  <c r="AW128" i="12"/>
  <c r="AM129" i="12"/>
  <c r="AO129" i="12"/>
  <c r="AV129" i="12"/>
  <c r="AL130" i="12"/>
  <c r="AM131" i="12"/>
  <c r="AO131" i="12"/>
  <c r="AV131" i="12"/>
  <c r="AL132" i="12"/>
  <c r="AN132" i="12"/>
  <c r="AP132" i="12"/>
  <c r="AU132" i="12"/>
  <c r="AW132" i="12"/>
  <c r="AL133" i="12"/>
  <c r="AN133" i="12"/>
  <c r="AP133" i="12"/>
  <c r="AU133" i="12"/>
  <c r="AW133" i="12"/>
  <c r="AM134" i="12"/>
  <c r="AO134" i="12"/>
  <c r="AV134" i="12"/>
  <c r="AL135" i="12"/>
  <c r="AN135" i="12"/>
  <c r="AP135" i="12"/>
  <c r="AU135" i="12"/>
  <c r="AW135" i="12"/>
  <c r="AM136" i="12"/>
  <c r="AO136" i="12"/>
  <c r="AV136" i="12"/>
  <c r="AL137" i="12"/>
  <c r="AN137" i="12"/>
  <c r="AP137" i="12"/>
  <c r="AU137" i="12"/>
  <c r="AW137" i="12"/>
  <c r="AM138" i="12"/>
  <c r="AO138" i="12"/>
  <c r="AV138" i="12"/>
  <c r="AL139" i="12"/>
  <c r="AN139" i="12"/>
  <c r="AP139" i="12"/>
  <c r="AU139" i="12"/>
  <c r="AW139" i="12"/>
  <c r="AM140" i="12"/>
  <c r="AO140" i="12"/>
  <c r="AV140" i="12"/>
  <c r="AL141" i="12"/>
  <c r="AN141" i="12"/>
  <c r="AP141" i="12"/>
  <c r="AU141" i="12"/>
  <c r="AW141" i="12"/>
  <c r="AM142" i="12"/>
  <c r="AO142" i="12"/>
  <c r="AV142" i="12"/>
  <c r="AL143" i="12"/>
  <c r="AN143" i="12"/>
  <c r="AP143" i="12"/>
  <c r="AU143" i="12"/>
  <c r="AW143" i="12"/>
  <c r="AL145" i="12"/>
  <c r="AN145" i="12"/>
  <c r="AO97" i="12"/>
  <c r="AV97" i="12"/>
  <c r="AM98" i="12"/>
  <c r="AL99" i="12"/>
  <c r="AP99" i="12"/>
  <c r="AU99" i="12"/>
  <c r="AL100" i="12"/>
  <c r="AP100" i="12"/>
  <c r="AU100" i="12"/>
  <c r="AL101" i="12"/>
  <c r="AP101" i="12"/>
  <c r="AU101" i="12"/>
  <c r="AL102" i="12"/>
  <c r="AP102" i="12"/>
  <c r="AU102" i="12"/>
  <c r="AM103" i="12"/>
  <c r="AL104" i="12"/>
  <c r="AP104" i="12"/>
  <c r="AU104" i="12"/>
  <c r="AN106" i="12"/>
  <c r="AW106" i="12"/>
  <c r="AM107" i="12"/>
  <c r="AL108" i="12"/>
  <c r="AP108" i="12"/>
  <c r="AU108" i="12"/>
  <c r="AL109" i="12"/>
  <c r="AP109" i="12"/>
  <c r="AU109" i="12"/>
  <c r="AW109" i="12"/>
  <c r="AM110" i="12"/>
  <c r="AO110" i="12"/>
  <c r="AV110" i="12"/>
  <c r="AL111" i="12"/>
  <c r="AN111" i="12"/>
  <c r="AP111" i="12"/>
  <c r="AU111" i="12"/>
  <c r="AW111" i="12"/>
  <c r="AM112" i="12"/>
  <c r="AO112" i="12"/>
  <c r="AV112" i="12"/>
  <c r="AL113" i="12"/>
  <c r="AN113" i="12"/>
  <c r="AP113" i="12"/>
  <c r="AU113" i="12"/>
  <c r="AW113" i="12"/>
  <c r="AM114" i="12"/>
  <c r="AO114" i="12"/>
  <c r="AV114" i="12"/>
  <c r="AL115" i="12"/>
  <c r="AN115" i="12"/>
  <c r="AP115" i="12"/>
  <c r="AU115" i="12"/>
  <c r="AW115" i="12"/>
  <c r="AM116" i="12"/>
  <c r="AO116" i="12"/>
  <c r="AV116" i="12"/>
  <c r="AL117" i="12"/>
  <c r="AN117" i="12"/>
  <c r="AP117" i="12"/>
  <c r="AU117" i="12"/>
  <c r="AW117" i="12"/>
  <c r="AL118" i="12"/>
  <c r="AN118" i="12"/>
  <c r="AP118" i="12"/>
  <c r="AU118" i="12"/>
  <c r="AW118" i="12"/>
  <c r="AL119" i="12"/>
  <c r="AN119" i="12"/>
  <c r="AP119" i="12"/>
  <c r="AU119" i="12"/>
  <c r="AW119" i="12"/>
  <c r="AM120" i="12"/>
  <c r="AO120" i="12"/>
  <c r="AV120" i="12"/>
  <c r="AL121" i="12"/>
  <c r="AN121" i="12"/>
  <c r="AP121" i="12"/>
  <c r="AU121" i="12"/>
  <c r="AW121" i="12"/>
  <c r="AL123" i="12"/>
  <c r="AN123" i="12"/>
  <c r="AP123" i="12"/>
  <c r="AU123" i="12"/>
  <c r="AW123" i="12"/>
  <c r="AM124" i="12"/>
  <c r="AO124" i="12"/>
  <c r="AV124" i="12"/>
  <c r="AL125" i="12"/>
  <c r="AN125" i="12"/>
  <c r="AP125" i="12"/>
  <c r="AU125" i="12"/>
  <c r="AW125" i="12"/>
  <c r="AM126" i="12"/>
  <c r="AO126" i="12"/>
  <c r="AV126" i="12"/>
  <c r="AM127" i="12"/>
  <c r="AO127" i="12"/>
  <c r="AV127" i="12"/>
  <c r="AM128" i="12"/>
  <c r="AO128" i="12"/>
  <c r="AV128" i="12"/>
  <c r="AL129" i="12"/>
  <c r="AN129" i="12"/>
  <c r="AP129" i="12"/>
  <c r="AU129" i="12"/>
  <c r="AW129" i="12"/>
  <c r="AL131" i="12"/>
  <c r="AN131" i="12"/>
  <c r="AP131" i="12"/>
  <c r="AU131" i="12"/>
  <c r="AW131" i="12"/>
  <c r="AM132" i="12"/>
  <c r="AO132" i="12"/>
  <c r="AV132" i="12"/>
  <c r="AM133" i="12"/>
  <c r="AO133" i="12"/>
  <c r="AV133" i="12"/>
  <c r="AL134" i="12"/>
  <c r="AN134" i="12"/>
  <c r="AP134" i="12"/>
  <c r="AU134" i="12"/>
  <c r="AW134" i="12"/>
  <c r="AM135" i="12"/>
  <c r="AO135" i="12"/>
  <c r="AV135" i="12"/>
  <c r="AL136" i="12"/>
  <c r="AN136" i="12"/>
  <c r="AP136" i="12"/>
  <c r="AU136" i="12"/>
  <c r="AW136" i="12"/>
  <c r="AM137" i="12"/>
  <c r="AO137" i="12"/>
  <c r="AV137" i="12"/>
  <c r="AL138" i="12"/>
  <c r="AN138" i="12"/>
  <c r="AP138" i="12"/>
  <c r="AU138" i="12"/>
  <c r="AW138" i="12"/>
  <c r="AM139" i="12"/>
  <c r="AO139" i="12"/>
  <c r="AV139" i="12"/>
  <c r="AL140" i="12"/>
  <c r="AN140" i="12"/>
  <c r="AP140" i="12"/>
  <c r="AU140" i="12"/>
  <c r="AW140" i="12"/>
  <c r="AM141" i="12"/>
  <c r="AO141" i="12"/>
  <c r="AV141" i="12"/>
  <c r="AL142" i="12"/>
  <c r="AN142" i="12"/>
  <c r="AP142" i="12"/>
  <c r="AU142" i="12"/>
  <c r="AW142" i="12"/>
  <c r="AM143" i="12"/>
  <c r="AO143" i="12"/>
  <c r="AV143" i="12"/>
  <c r="AL144" i="12"/>
  <c r="AM145" i="12"/>
  <c r="AO145" i="12"/>
  <c r="AV145" i="12"/>
  <c r="AL146" i="12"/>
  <c r="AN146" i="12"/>
  <c r="AP146" i="12"/>
  <c r="AU146" i="12"/>
  <c r="AW146" i="12"/>
  <c r="AM147" i="12"/>
  <c r="AO147" i="12"/>
  <c r="AV147" i="12"/>
  <c r="AL148" i="12"/>
  <c r="AN148" i="12"/>
  <c r="AP148" i="12"/>
  <c r="AU148" i="12"/>
  <c r="AW148" i="12"/>
  <c r="AM149" i="12"/>
  <c r="AO149" i="12"/>
  <c r="AV149" i="12"/>
  <c r="AL150" i="12"/>
  <c r="AN150" i="12"/>
  <c r="AP150" i="12"/>
  <c r="AU150" i="12"/>
  <c r="AW150" i="12"/>
  <c r="AM151" i="12"/>
  <c r="AO151" i="12"/>
  <c r="AV151" i="12"/>
  <c r="AL152" i="12"/>
  <c r="AN152" i="12"/>
  <c r="AP152" i="12"/>
  <c r="AU152" i="12"/>
  <c r="AW152" i="12"/>
  <c r="AM153" i="12"/>
  <c r="AO153" i="12"/>
  <c r="AV153" i="12"/>
  <c r="AL154" i="12"/>
  <c r="AN154" i="12"/>
  <c r="AP154" i="12"/>
  <c r="AU154" i="12"/>
  <c r="AW154" i="12"/>
  <c r="AM155" i="12"/>
  <c r="AO155" i="12"/>
  <c r="AV155" i="12"/>
  <c r="AL156" i="12"/>
  <c r="AM157" i="12"/>
  <c r="AO157" i="12"/>
  <c r="AV157" i="12"/>
  <c r="AL158" i="12"/>
  <c r="AN158" i="12"/>
  <c r="AP158" i="12"/>
  <c r="AU158" i="12"/>
  <c r="AW158" i="12"/>
  <c r="AM159" i="12"/>
  <c r="AO159" i="12"/>
  <c r="AV159" i="12"/>
  <c r="AL160" i="12"/>
  <c r="AN160" i="12"/>
  <c r="AP160" i="12"/>
  <c r="AU160" i="12"/>
  <c r="AW160" i="12"/>
  <c r="AM161" i="12"/>
  <c r="AO161" i="12"/>
  <c r="AV161" i="12"/>
  <c r="AL162" i="12"/>
  <c r="AN162" i="12"/>
  <c r="AP162" i="12"/>
  <c r="AU162" i="12"/>
  <c r="AW162" i="12"/>
  <c r="AM163" i="12"/>
  <c r="AO163" i="12"/>
  <c r="AV163" i="12"/>
  <c r="AL164" i="12"/>
  <c r="AN164" i="12"/>
  <c r="AP164" i="12"/>
  <c r="AU164" i="12"/>
  <c r="AW164" i="12"/>
  <c r="AM165" i="12"/>
  <c r="AO165" i="12"/>
  <c r="AV165" i="12"/>
  <c r="AL166" i="12"/>
  <c r="AN166" i="12"/>
  <c r="AP166" i="12"/>
  <c r="AU166" i="12"/>
  <c r="AW166" i="12"/>
  <c r="AM167" i="12"/>
  <c r="AO167" i="12"/>
  <c r="AV167" i="12"/>
  <c r="AL168" i="12"/>
  <c r="AN168" i="12"/>
  <c r="AP168" i="12"/>
  <c r="AU168" i="12"/>
  <c r="AW168" i="12"/>
  <c r="AM169" i="12"/>
  <c r="AO169" i="12"/>
  <c r="AV169" i="12"/>
  <c r="AL170" i="12"/>
  <c r="AN170" i="12"/>
  <c r="AP170" i="12"/>
  <c r="AU170" i="12"/>
  <c r="AW170" i="12"/>
  <c r="AM171" i="12"/>
  <c r="AO171" i="12"/>
  <c r="AV171" i="12"/>
  <c r="AL172" i="12"/>
  <c r="AN172" i="12"/>
  <c r="AP172" i="12"/>
  <c r="AU172" i="12"/>
  <c r="AW172" i="12"/>
  <c r="AM173" i="12"/>
  <c r="AO173" i="12"/>
  <c r="AV173" i="12"/>
  <c r="AL174" i="12"/>
  <c r="AN174" i="12"/>
  <c r="AP174" i="12"/>
  <c r="AU174" i="12"/>
  <c r="AW174" i="12"/>
  <c r="AL176" i="12"/>
  <c r="AN176" i="12"/>
  <c r="AP176" i="12"/>
  <c r="AU176" i="12"/>
  <c r="AW176" i="12"/>
  <c r="AM177" i="12"/>
  <c r="AO177" i="12"/>
  <c r="AV177" i="12"/>
  <c r="AL178" i="12"/>
  <c r="AN178" i="12"/>
  <c r="AP178" i="12"/>
  <c r="AU178" i="12"/>
  <c r="AW178" i="12"/>
  <c r="AM179" i="12"/>
  <c r="AO179" i="12"/>
  <c r="AV179" i="12"/>
  <c r="AL180" i="12"/>
  <c r="AN180" i="12"/>
  <c r="AP180" i="12"/>
  <c r="AU180" i="12"/>
  <c r="AW180" i="12"/>
  <c r="AM181" i="12"/>
  <c r="AO181" i="12"/>
  <c r="AV181" i="12"/>
  <c r="AL182" i="12"/>
  <c r="AN182" i="12"/>
  <c r="AP182" i="12"/>
  <c r="AU182" i="12"/>
  <c r="AW182" i="12"/>
  <c r="AM183" i="12"/>
  <c r="AO183" i="12"/>
  <c r="AV183" i="12"/>
  <c r="AL184" i="12"/>
  <c r="AN184" i="12"/>
  <c r="AP184" i="12"/>
  <c r="AU184" i="12"/>
  <c r="AW184" i="12"/>
  <c r="AM185" i="12"/>
  <c r="AO185" i="12"/>
  <c r="AV185" i="12"/>
  <c r="AL186" i="12"/>
  <c r="AN186" i="12"/>
  <c r="AP186" i="12"/>
  <c r="AU186" i="12"/>
  <c r="AW186" i="12"/>
  <c r="AM187" i="12"/>
  <c r="AO187" i="12"/>
  <c r="AV187" i="12"/>
  <c r="AL188" i="12"/>
  <c r="AN188" i="12"/>
  <c r="AP188" i="12"/>
  <c r="AU188" i="12"/>
  <c r="AW188" i="12"/>
  <c r="AM189" i="12"/>
  <c r="AO189" i="12"/>
  <c r="AV189" i="12"/>
  <c r="AL190" i="12"/>
  <c r="AN190" i="12"/>
  <c r="AP190" i="12"/>
  <c r="AU190" i="12"/>
  <c r="AW190" i="12"/>
  <c r="AL192" i="12"/>
  <c r="AN192" i="12"/>
  <c r="AP192" i="12"/>
  <c r="AU192" i="12"/>
  <c r="AW192" i="12"/>
  <c r="AM193" i="12"/>
  <c r="AO193" i="12"/>
  <c r="AV193" i="12"/>
  <c r="AL194" i="12"/>
  <c r="AN194" i="12"/>
  <c r="AP194" i="12"/>
  <c r="AU194" i="12"/>
  <c r="AW194" i="12"/>
  <c r="AM195" i="12"/>
  <c r="AO195" i="12"/>
  <c r="AV195" i="12"/>
  <c r="AL196" i="12"/>
  <c r="AN196" i="12"/>
  <c r="AP196" i="12"/>
  <c r="AU196" i="12"/>
  <c r="AW196" i="12"/>
  <c r="AM197" i="12"/>
  <c r="AO197" i="12"/>
  <c r="AV197" i="12"/>
  <c r="AL198" i="12"/>
  <c r="AN198" i="12"/>
  <c r="AP198" i="12"/>
  <c r="AU198" i="12"/>
  <c r="AW198" i="12"/>
  <c r="AP145" i="12"/>
  <c r="AU145" i="12"/>
  <c r="AW145" i="12"/>
  <c r="AM146" i="12"/>
  <c r="AO146" i="12"/>
  <c r="AV146" i="12"/>
  <c r="AL147" i="12"/>
  <c r="AN147" i="12"/>
  <c r="AP147" i="12"/>
  <c r="AU147" i="12"/>
  <c r="AW147" i="12"/>
  <c r="AM148" i="12"/>
  <c r="AO148" i="12"/>
  <c r="AV148" i="12"/>
  <c r="AL149" i="12"/>
  <c r="AN149" i="12"/>
  <c r="AP149" i="12"/>
  <c r="AU149" i="12"/>
  <c r="AW149" i="12"/>
  <c r="AM150" i="12"/>
  <c r="AO150" i="12"/>
  <c r="AV150" i="12"/>
  <c r="AL151" i="12"/>
  <c r="AN151" i="12"/>
  <c r="AP151" i="12"/>
  <c r="AU151" i="12"/>
  <c r="AW151" i="12"/>
  <c r="AM152" i="12"/>
  <c r="AO152" i="12"/>
  <c r="AV152" i="12"/>
  <c r="AL153" i="12"/>
  <c r="AN153" i="12"/>
  <c r="AP153" i="12"/>
  <c r="AU153" i="12"/>
  <c r="AW153" i="12"/>
  <c r="AM154" i="12"/>
  <c r="AO154" i="12"/>
  <c r="AV154" i="12"/>
  <c r="AL155" i="12"/>
  <c r="AN155" i="12"/>
  <c r="AP155" i="12"/>
  <c r="AU155" i="12"/>
  <c r="AW155" i="12"/>
  <c r="AL157" i="12"/>
  <c r="AN157" i="12"/>
  <c r="AP157" i="12"/>
  <c r="AU157" i="12"/>
  <c r="AW157" i="12"/>
  <c r="AM158" i="12"/>
  <c r="AO158" i="12"/>
  <c r="AV158" i="12"/>
  <c r="AL159" i="12"/>
  <c r="AN159" i="12"/>
  <c r="AP159" i="12"/>
  <c r="AU159" i="12"/>
  <c r="AW159" i="12"/>
  <c r="AM160" i="12"/>
  <c r="AO160" i="12"/>
  <c r="AV160" i="12"/>
  <c r="AL161" i="12"/>
  <c r="AN161" i="12"/>
  <c r="AP161" i="12"/>
  <c r="AU161" i="12"/>
  <c r="AW161" i="12"/>
  <c r="AM162" i="12"/>
  <c r="AO162" i="12"/>
  <c r="AV162" i="12"/>
  <c r="AL163" i="12"/>
  <c r="AN163" i="12"/>
  <c r="AP163" i="12"/>
  <c r="AU163" i="12"/>
  <c r="AW163" i="12"/>
  <c r="AM164" i="12"/>
  <c r="AO164" i="12"/>
  <c r="AV164" i="12"/>
  <c r="AL165" i="12"/>
  <c r="AN165" i="12"/>
  <c r="AP165" i="12"/>
  <c r="AU165" i="12"/>
  <c r="AW165" i="12"/>
  <c r="AM166" i="12"/>
  <c r="AO166" i="12"/>
  <c r="AV166" i="12"/>
  <c r="AL167" i="12"/>
  <c r="AN167" i="12"/>
  <c r="AP167" i="12"/>
  <c r="AU167" i="12"/>
  <c r="AW167" i="12"/>
  <c r="AM168" i="12"/>
  <c r="AO168" i="12"/>
  <c r="AV168" i="12"/>
  <c r="AL169" i="12"/>
  <c r="AN169" i="12"/>
  <c r="AP169" i="12"/>
  <c r="AU169" i="12"/>
  <c r="AW169" i="12"/>
  <c r="AM170" i="12"/>
  <c r="AO170" i="12"/>
  <c r="AV170" i="12"/>
  <c r="AL171" i="12"/>
  <c r="AN171" i="12"/>
  <c r="AP171" i="12"/>
  <c r="AU171" i="12"/>
  <c r="AW171" i="12"/>
  <c r="AM172" i="12"/>
  <c r="AO172" i="12"/>
  <c r="AV172" i="12"/>
  <c r="AL173" i="12"/>
  <c r="AN173" i="12"/>
  <c r="AP173" i="12"/>
  <c r="AU173" i="12"/>
  <c r="AW173" i="12"/>
  <c r="AM174" i="12"/>
  <c r="AO174" i="12"/>
  <c r="AV174" i="12"/>
  <c r="AL175" i="12"/>
  <c r="AM176" i="12"/>
  <c r="AO176" i="12"/>
  <c r="AV176" i="12"/>
  <c r="AL177" i="12"/>
  <c r="AN177" i="12"/>
  <c r="AP177" i="12"/>
  <c r="AU177" i="12"/>
  <c r="AW177" i="12"/>
  <c r="AM178" i="12"/>
  <c r="AO178" i="12"/>
  <c r="AV178" i="12"/>
  <c r="AL179" i="12"/>
  <c r="AN179" i="12"/>
  <c r="AP179" i="12"/>
  <c r="AU179" i="12"/>
  <c r="AW179" i="12"/>
  <c r="AM180" i="12"/>
  <c r="AO180" i="12"/>
  <c r="AV180" i="12"/>
  <c r="AL181" i="12"/>
  <c r="AN181" i="12"/>
  <c r="AP181" i="12"/>
  <c r="AU181" i="12"/>
  <c r="AW181" i="12"/>
  <c r="AM182" i="12"/>
  <c r="AO182" i="12"/>
  <c r="AV182" i="12"/>
  <c r="AL183" i="12"/>
  <c r="AN183" i="12"/>
  <c r="AP183" i="12"/>
  <c r="AU183" i="12"/>
  <c r="AW183" i="12"/>
  <c r="AM184" i="12"/>
  <c r="AO184" i="12"/>
  <c r="AV184" i="12"/>
  <c r="AL185" i="12"/>
  <c r="AN185" i="12"/>
  <c r="AP185" i="12"/>
  <c r="AU185" i="12"/>
  <c r="AW185" i="12"/>
  <c r="AM186" i="12"/>
  <c r="AO186" i="12"/>
  <c r="AV186" i="12"/>
  <c r="AL187" i="12"/>
  <c r="AN187" i="12"/>
  <c r="AP187" i="12"/>
  <c r="AU187" i="12"/>
  <c r="AW187" i="12"/>
  <c r="AM188" i="12"/>
  <c r="AO188" i="12"/>
  <c r="AV188" i="12"/>
  <c r="AL189" i="12"/>
  <c r="AN189" i="12"/>
  <c r="AP189" i="12"/>
  <c r="AU189" i="12"/>
  <c r="AW189" i="12"/>
  <c r="AM190" i="12"/>
  <c r="AO190" i="12"/>
  <c r="AV190" i="12"/>
  <c r="AL191" i="12"/>
  <c r="AM192" i="12"/>
  <c r="AO192" i="12"/>
  <c r="AV192" i="12"/>
  <c r="AL193" i="12"/>
  <c r="AN193" i="12"/>
  <c r="AP193" i="12"/>
  <c r="AU193" i="12"/>
  <c r="AW193" i="12"/>
  <c r="AM194" i="12"/>
  <c r="AO194" i="12"/>
  <c r="AV194" i="12"/>
  <c r="AL195" i="12"/>
  <c r="AN195" i="12"/>
  <c r="AP195" i="12"/>
  <c r="AU195" i="12"/>
  <c r="AW195" i="12"/>
  <c r="AM196" i="12"/>
  <c r="AO196" i="12"/>
  <c r="AV196" i="12"/>
  <c r="AL197" i="12"/>
  <c r="AN197" i="12"/>
  <c r="AP197" i="12"/>
  <c r="AU197" i="12"/>
  <c r="AW197" i="12"/>
  <c r="AM198" i="12"/>
  <c r="AO198" i="12"/>
  <c r="AV198" i="12"/>
  <c r="U86" i="12"/>
  <c r="U89" i="12"/>
  <c r="U88" i="12"/>
  <c r="U87" i="12"/>
  <c r="K39" i="12" l="1"/>
  <c r="K38" i="12"/>
  <c r="L26" i="14"/>
  <c r="AM56" i="14"/>
  <c r="AF43" i="14" s="1"/>
  <c r="L29" i="14"/>
  <c r="M29" i="14"/>
  <c r="L28" i="14"/>
  <c r="L20" i="14"/>
  <c r="L19" i="16"/>
  <c r="K46" i="16"/>
  <c r="K44" i="16"/>
  <c r="K43" i="16"/>
  <c r="L18" i="16"/>
  <c r="M21" i="16"/>
  <c r="L28" i="12"/>
  <c r="L30" i="12"/>
  <c r="M28" i="12"/>
  <c r="L21" i="16"/>
  <c r="K51" i="16"/>
  <c r="AM51" i="16"/>
  <c r="AF48" i="16" s="1"/>
  <c r="AM52" i="14"/>
  <c r="AF47" i="14" s="1"/>
  <c r="AM43" i="14"/>
  <c r="AF56" i="14" s="1"/>
  <c r="L23" i="14"/>
  <c r="M23" i="12"/>
  <c r="L23" i="12"/>
  <c r="AM55" i="16"/>
  <c r="AF44" i="16" s="1"/>
  <c r="K48" i="16"/>
  <c r="AM45" i="16"/>
  <c r="AF54" i="16" s="1"/>
  <c r="AM50" i="16"/>
  <c r="AM93" i="16" s="1"/>
  <c r="K47" i="16"/>
  <c r="L25" i="16"/>
  <c r="L24" i="16"/>
  <c r="L25" i="14"/>
  <c r="AM54" i="14"/>
  <c r="AF45" i="14" s="1"/>
  <c r="M18" i="14"/>
  <c r="M27" i="14"/>
  <c r="L18" i="14"/>
  <c r="L27" i="14"/>
  <c r="L22" i="14"/>
  <c r="AM53" i="14"/>
  <c r="AF46" i="14" s="1"/>
  <c r="AM44" i="14"/>
  <c r="AM175" i="14" s="1"/>
  <c r="AM45" i="14"/>
  <c r="AF54" i="14" s="1"/>
  <c r="L16" i="12"/>
  <c r="L28" i="16"/>
  <c r="AM47" i="16"/>
  <c r="AM130" i="16" s="1"/>
  <c r="K50" i="16"/>
  <c r="M17" i="16"/>
  <c r="AM44" i="16"/>
  <c r="AF55" i="16" s="1"/>
  <c r="AM54" i="16"/>
  <c r="AF45" i="16" s="1"/>
  <c r="K39" i="16"/>
  <c r="M18" i="16"/>
  <c r="L17" i="16"/>
  <c r="AM52" i="16"/>
  <c r="AF47" i="16" s="1"/>
  <c r="AM53" i="16"/>
  <c r="AM73" i="16" s="1"/>
  <c r="L26" i="16"/>
  <c r="M28" i="16"/>
  <c r="K40" i="16"/>
  <c r="M21" i="14"/>
  <c r="L24" i="14"/>
  <c r="AM47" i="14"/>
  <c r="AF52" i="14" s="1"/>
  <c r="AM48" i="14"/>
  <c r="AM122" i="14" s="1"/>
  <c r="AM49" i="14"/>
  <c r="AF50" i="14" s="1"/>
  <c r="M20" i="14"/>
  <c r="M19" i="14"/>
  <c r="AM46" i="14"/>
  <c r="AF53" i="14" s="1"/>
  <c r="L19" i="14"/>
  <c r="AM51" i="14"/>
  <c r="AF48" i="14" s="1"/>
  <c r="L17" i="14"/>
  <c r="I69" i="14"/>
  <c r="J61" i="14" s="1"/>
  <c r="I85" i="14" s="1"/>
  <c r="I94" i="14" s="1"/>
  <c r="M17" i="14"/>
  <c r="L21" i="14"/>
  <c r="AM43" i="12"/>
  <c r="AF56" i="12" s="1"/>
  <c r="AM50" i="12"/>
  <c r="M16" i="12"/>
  <c r="AM49" i="12"/>
  <c r="AM51" i="12"/>
  <c r="AF48" i="12" s="1"/>
  <c r="L24" i="12"/>
  <c r="M24" i="12"/>
  <c r="I69" i="12"/>
  <c r="J61" i="12" s="1"/>
  <c r="I118" i="12" s="1"/>
  <c r="I127" i="12" s="1"/>
  <c r="L19" i="12"/>
  <c r="M19" i="12"/>
  <c r="AM50" i="14"/>
  <c r="AM93" i="14" s="1"/>
  <c r="AM49" i="16"/>
  <c r="AM105" i="16" s="1"/>
  <c r="AM46" i="16"/>
  <c r="AF53" i="16" s="1"/>
  <c r="K45" i="16"/>
  <c r="I69" i="16"/>
  <c r="J61" i="16" s="1"/>
  <c r="U71" i="16" s="1"/>
  <c r="K42" i="16"/>
  <c r="L20" i="16"/>
  <c r="L23" i="16"/>
  <c r="AM43" i="16"/>
  <c r="AF56" i="16" s="1"/>
  <c r="AM55" i="14"/>
  <c r="AF44" i="14" s="1"/>
  <c r="L25" i="12"/>
  <c r="L17" i="12"/>
  <c r="M27" i="16"/>
  <c r="M22" i="16"/>
  <c r="AF51" i="16"/>
  <c r="AM122" i="16"/>
  <c r="AF43" i="16"/>
  <c r="AM60" i="16"/>
  <c r="M29" i="16"/>
  <c r="I67" i="16"/>
  <c r="L16" i="16"/>
  <c r="K38" i="16"/>
  <c r="AM84" i="16"/>
  <c r="L16" i="14"/>
  <c r="M22" i="14"/>
  <c r="M26" i="14"/>
  <c r="M28" i="14"/>
  <c r="AM60" i="14" l="1"/>
  <c r="AF49" i="16"/>
  <c r="AF46" i="16"/>
  <c r="K39" i="14"/>
  <c r="K45" i="14"/>
  <c r="K40" i="14"/>
  <c r="K38" i="14"/>
  <c r="K44" i="14"/>
  <c r="K50" i="14"/>
  <c r="K41" i="14"/>
  <c r="K42" i="14"/>
  <c r="K47" i="14"/>
  <c r="K46" i="14"/>
  <c r="AM73" i="14"/>
  <c r="K43" i="14"/>
  <c r="K48" i="14"/>
  <c r="K49" i="14"/>
  <c r="K47" i="12"/>
  <c r="K46" i="12"/>
  <c r="K50" i="12"/>
  <c r="K41" i="12"/>
  <c r="K45" i="12"/>
  <c r="M25" i="14"/>
  <c r="AM55" i="12"/>
  <c r="AF44" i="12" s="1"/>
  <c r="AM56" i="12"/>
  <c r="AF43" i="12" s="1"/>
  <c r="L21" i="12"/>
  <c r="I68" i="12"/>
  <c r="AM78" i="16"/>
  <c r="AM78" i="14"/>
  <c r="D26" i="16"/>
  <c r="AF52" i="16"/>
  <c r="AM156" i="16"/>
  <c r="M25" i="16"/>
  <c r="N24" i="16"/>
  <c r="AM70" i="16"/>
  <c r="I68" i="16"/>
  <c r="J58" i="16" s="1"/>
  <c r="N25" i="16"/>
  <c r="M29" i="12"/>
  <c r="AM52" i="12"/>
  <c r="AF47" i="12" s="1"/>
  <c r="N27" i="14"/>
  <c r="N24" i="14"/>
  <c r="AF51" i="14"/>
  <c r="AM130" i="14"/>
  <c r="AM84" i="14"/>
  <c r="N21" i="14"/>
  <c r="X77" i="14"/>
  <c r="M24" i="16"/>
  <c r="I85" i="12"/>
  <c r="I94" i="12" s="1"/>
  <c r="L26" i="12"/>
  <c r="L29" i="12"/>
  <c r="K51" i="12"/>
  <c r="M26" i="12"/>
  <c r="I67" i="12"/>
  <c r="X82" i="16"/>
  <c r="M26" i="16"/>
  <c r="AM67" i="16"/>
  <c r="N17" i="14"/>
  <c r="AM144" i="14"/>
  <c r="N22" i="14"/>
  <c r="AM156" i="14"/>
  <c r="AF55" i="14"/>
  <c r="N19" i="14"/>
  <c r="M24" i="14"/>
  <c r="I67" i="14"/>
  <c r="AM191" i="14"/>
  <c r="X86" i="14"/>
  <c r="X87" i="12"/>
  <c r="N17" i="12"/>
  <c r="M19" i="16"/>
  <c r="M23" i="16"/>
  <c r="AM67" i="14"/>
  <c r="AM70" i="14"/>
  <c r="AF49" i="14"/>
  <c r="M17" i="12"/>
  <c r="AM191" i="12"/>
  <c r="M21" i="12"/>
  <c r="AM191" i="16"/>
  <c r="AF50" i="16"/>
  <c r="D22" i="16"/>
  <c r="N29" i="16"/>
  <c r="AM175" i="16"/>
  <c r="D27" i="16"/>
  <c r="N20" i="16"/>
  <c r="AM144" i="16"/>
  <c r="AM105" i="14"/>
  <c r="I68" i="14"/>
  <c r="M23" i="14"/>
  <c r="I118" i="14"/>
  <c r="I127" i="14" s="1"/>
  <c r="U71" i="14"/>
  <c r="J32" i="14"/>
  <c r="AF50" i="12"/>
  <c r="AM105" i="12"/>
  <c r="L22" i="12"/>
  <c r="J32" i="12"/>
  <c r="AF49" i="12"/>
  <c r="AM93" i="12"/>
  <c r="AM48" i="12"/>
  <c r="AM44" i="12"/>
  <c r="AF55" i="12" s="1"/>
  <c r="L18" i="12"/>
  <c r="AM53" i="12"/>
  <c r="AM54" i="12"/>
  <c r="L27" i="12"/>
  <c r="M25" i="12"/>
  <c r="U71" i="12"/>
  <c r="AM84" i="12"/>
  <c r="L20" i="12"/>
  <c r="AM47" i="12"/>
  <c r="AM46" i="12"/>
  <c r="AM45" i="12"/>
  <c r="J32" i="16"/>
  <c r="I118" i="16"/>
  <c r="I127" i="16" s="1"/>
  <c r="I85" i="16"/>
  <c r="I94" i="16" s="1"/>
  <c r="N21" i="16"/>
  <c r="M20" i="16"/>
  <c r="M16" i="16"/>
  <c r="N27" i="16"/>
  <c r="X90" i="16"/>
  <c r="X76" i="16" s="1"/>
  <c r="N22" i="16"/>
  <c r="X85" i="16"/>
  <c r="X88" i="16"/>
  <c r="X74" i="16" s="1"/>
  <c r="AE44" i="16"/>
  <c r="AE44" i="14"/>
  <c r="AE45" i="14" s="1"/>
  <c r="X88" i="14"/>
  <c r="X74" i="14" s="1"/>
  <c r="N25" i="14"/>
  <c r="D25" i="14"/>
  <c r="X89" i="14"/>
  <c r="X75" i="14" s="1"/>
  <c r="N26" i="14"/>
  <c r="M16" i="14"/>
  <c r="N29" i="12"/>
  <c r="AM60" i="12" l="1"/>
  <c r="K42" i="12"/>
  <c r="K49" i="12"/>
  <c r="K48" i="12"/>
  <c r="K44" i="12"/>
  <c r="K43" i="12"/>
  <c r="K40" i="12"/>
  <c r="D18" i="16"/>
  <c r="D25" i="16"/>
  <c r="X89" i="16"/>
  <c r="X75" i="16" s="1"/>
  <c r="N26" i="16"/>
  <c r="N19" i="16"/>
  <c r="X87" i="14"/>
  <c r="X72" i="14" s="1"/>
  <c r="X85" i="14"/>
  <c r="D28" i="14"/>
  <c r="N29" i="14"/>
  <c r="D24" i="14"/>
  <c r="X84" i="14"/>
  <c r="X80" i="14"/>
  <c r="D17" i="14"/>
  <c r="J58" i="12"/>
  <c r="K31" i="12" s="1"/>
  <c r="AM67" i="12"/>
  <c r="X81" i="14"/>
  <c r="X66" i="14" s="1"/>
  <c r="D27" i="14"/>
  <c r="N18" i="14"/>
  <c r="N24" i="12"/>
  <c r="X91" i="14"/>
  <c r="X90" i="14"/>
  <c r="X76" i="14" s="1"/>
  <c r="D20" i="14"/>
  <c r="AM78" i="12"/>
  <c r="D26" i="14"/>
  <c r="D16" i="14"/>
  <c r="I65" i="16"/>
  <c r="G118" i="16"/>
  <c r="H118" i="16" s="1"/>
  <c r="J119" i="16" s="1"/>
  <c r="J31" i="16"/>
  <c r="D24" i="16"/>
  <c r="X87" i="16"/>
  <c r="X73" i="16" s="1"/>
  <c r="D19" i="16"/>
  <c r="N18" i="16"/>
  <c r="X81" i="16"/>
  <c r="N28" i="14"/>
  <c r="D21" i="14"/>
  <c r="D22" i="14"/>
  <c r="X83" i="14"/>
  <c r="D18" i="14"/>
  <c r="N20" i="14"/>
  <c r="D23" i="14"/>
  <c r="D19" i="14"/>
  <c r="X82" i="14"/>
  <c r="X67" i="14" s="1"/>
  <c r="X83" i="16"/>
  <c r="X68" i="16" s="1"/>
  <c r="N23" i="16"/>
  <c r="D23" i="16"/>
  <c r="X86" i="16"/>
  <c r="X71" i="16" s="1"/>
  <c r="D24" i="12"/>
  <c r="X80" i="12"/>
  <c r="K32" i="12"/>
  <c r="D25" i="12"/>
  <c r="K32" i="16"/>
  <c r="D17" i="16"/>
  <c r="K32" i="14"/>
  <c r="J58" i="14"/>
  <c r="G118" i="14" s="1"/>
  <c r="G127" i="14" s="1"/>
  <c r="N23" i="14"/>
  <c r="AE44" i="12"/>
  <c r="D20" i="16"/>
  <c r="D28" i="16"/>
  <c r="X88" i="12"/>
  <c r="X74" i="12" s="1"/>
  <c r="X77" i="16"/>
  <c r="N28" i="16"/>
  <c r="X91" i="16"/>
  <c r="G85" i="16"/>
  <c r="H85" i="16" s="1"/>
  <c r="J86" i="16" s="1"/>
  <c r="T71" i="16"/>
  <c r="D21" i="16"/>
  <c r="X84" i="16"/>
  <c r="X69" i="16" s="1"/>
  <c r="AM175" i="12"/>
  <c r="AF53" i="12"/>
  <c r="AM144" i="12"/>
  <c r="AF51" i="12"/>
  <c r="AM122" i="12"/>
  <c r="M18" i="12"/>
  <c r="AF52" i="12"/>
  <c r="AM130" i="12"/>
  <c r="AF45" i="12"/>
  <c r="AM70" i="12"/>
  <c r="M22" i="12"/>
  <c r="N16" i="12"/>
  <c r="Z79" i="12"/>
  <c r="Z80" i="12" s="1"/>
  <c r="Z65" i="12" s="1"/>
  <c r="X79" i="12"/>
  <c r="D16" i="12"/>
  <c r="M27" i="12"/>
  <c r="N25" i="12"/>
  <c r="M20" i="12"/>
  <c r="AF46" i="12"/>
  <c r="AM73" i="12"/>
  <c r="AF54" i="12"/>
  <c r="AM156" i="12"/>
  <c r="X71" i="14"/>
  <c r="X70" i="16"/>
  <c r="X67" i="16"/>
  <c r="AE45" i="16"/>
  <c r="AE46" i="16" s="1"/>
  <c r="AE47" i="16" s="1"/>
  <c r="AE48" i="16" s="1"/>
  <c r="AE49" i="16" s="1"/>
  <c r="AE50" i="16" s="1"/>
  <c r="AE51" i="16" s="1"/>
  <c r="AE52" i="16" s="1"/>
  <c r="AE53" i="16" s="1"/>
  <c r="AE54" i="16" s="1"/>
  <c r="AE55" i="16" s="1"/>
  <c r="AE56" i="16" s="1"/>
  <c r="N17" i="16"/>
  <c r="D16" i="16"/>
  <c r="X80" i="16"/>
  <c r="Z79" i="16"/>
  <c r="Z80" i="16" s="1"/>
  <c r="N16" i="16"/>
  <c r="X79" i="16"/>
  <c r="AE46" i="14"/>
  <c r="AE47" i="14" s="1"/>
  <c r="AE48" i="14" s="1"/>
  <c r="AE49" i="14" s="1"/>
  <c r="AE50" i="14" s="1"/>
  <c r="AE51" i="14" s="1"/>
  <c r="AE52" i="14" s="1"/>
  <c r="AE53" i="14" s="1"/>
  <c r="AE54" i="14" s="1"/>
  <c r="AE55" i="14" s="1"/>
  <c r="AE56" i="14" s="1"/>
  <c r="X79" i="14"/>
  <c r="N16" i="14"/>
  <c r="Z79" i="14"/>
  <c r="Z80" i="14" s="1"/>
  <c r="X73" i="14"/>
  <c r="X73" i="12"/>
  <c r="X68" i="14" l="1"/>
  <c r="X65" i="12"/>
  <c r="X72" i="16"/>
  <c r="G94" i="16"/>
  <c r="H98" i="16" s="1"/>
  <c r="G118" i="12"/>
  <c r="H118" i="12" s="1"/>
  <c r="J119" i="12" s="1"/>
  <c r="X69" i="14"/>
  <c r="X70" i="14"/>
  <c r="H118" i="14"/>
  <c r="J119" i="14" s="1"/>
  <c r="I65" i="14"/>
  <c r="X65" i="14"/>
  <c r="I65" i="12"/>
  <c r="G85" i="12"/>
  <c r="G94" i="12" s="1"/>
  <c r="T71" i="12"/>
  <c r="J31" i="12"/>
  <c r="G85" i="14"/>
  <c r="K31" i="16"/>
  <c r="T71" i="14"/>
  <c r="G127" i="16"/>
  <c r="H127" i="16" s="1"/>
  <c r="J128" i="16" s="1"/>
  <c r="X89" i="12"/>
  <c r="X75" i="12" s="1"/>
  <c r="N26" i="12"/>
  <c r="AE45" i="12"/>
  <c r="AE46" i="12" s="1"/>
  <c r="AE47" i="12" s="1"/>
  <c r="AE48" i="12" s="1"/>
  <c r="AE49" i="12" s="1"/>
  <c r="AE50" i="12" s="1"/>
  <c r="AE51" i="12" s="1"/>
  <c r="AE52" i="12" s="1"/>
  <c r="AE53" i="12" s="1"/>
  <c r="AE54" i="12" s="1"/>
  <c r="AE55" i="12" s="1"/>
  <c r="AE56" i="12" s="1"/>
  <c r="Z81" i="12"/>
  <c r="Z82" i="12" s="1"/>
  <c r="X90" i="12"/>
  <c r="X76" i="12" s="1"/>
  <c r="N27" i="12"/>
  <c r="D26" i="12"/>
  <c r="D18" i="12"/>
  <c r="N19" i="12"/>
  <c r="X82" i="12"/>
  <c r="D28" i="12"/>
  <c r="X77" i="12"/>
  <c r="X91" i="12"/>
  <c r="N28" i="12"/>
  <c r="D27" i="12"/>
  <c r="D21" i="12"/>
  <c r="X85" i="12"/>
  <c r="N22" i="12"/>
  <c r="N18" i="12"/>
  <c r="D17" i="12"/>
  <c r="X81" i="12"/>
  <c r="X66" i="12" s="1"/>
  <c r="D23" i="12"/>
  <c r="X86" i="12"/>
  <c r="D22" i="12"/>
  <c r="N23" i="12"/>
  <c r="N20" i="12"/>
  <c r="X83" i="12"/>
  <c r="D19" i="12"/>
  <c r="N21" i="12"/>
  <c r="X84" i="12"/>
  <c r="D20" i="12"/>
  <c r="X65" i="16"/>
  <c r="X66" i="16"/>
  <c r="AG38" i="16"/>
  <c r="AN46" i="16" s="1"/>
  <c r="AG39" i="16"/>
  <c r="Z81" i="16"/>
  <c r="Z65" i="16"/>
  <c r="F108" i="16"/>
  <c r="AG39" i="14"/>
  <c r="AG38" i="14"/>
  <c r="Z65" i="14"/>
  <c r="Z81" i="14"/>
  <c r="I132" i="14"/>
  <c r="H127" i="14"/>
  <c r="J128" i="14" s="1"/>
  <c r="I131" i="14"/>
  <c r="H94" i="16" l="1"/>
  <c r="J95" i="16" s="1"/>
  <c r="F107" i="16" s="1"/>
  <c r="I132" i="16"/>
  <c r="I131" i="16"/>
  <c r="G127" i="12"/>
  <c r="I131" i="12" s="1"/>
  <c r="H85" i="12"/>
  <c r="J86" i="12" s="1"/>
  <c r="F108" i="12" s="1"/>
  <c r="Z66" i="12"/>
  <c r="J31" i="14"/>
  <c r="K31" i="14"/>
  <c r="G94" i="14"/>
  <c r="H85" i="14"/>
  <c r="J86" i="14" s="1"/>
  <c r="F108" i="14" s="1"/>
  <c r="X67" i="12"/>
  <c r="X70" i="12"/>
  <c r="AG39" i="12"/>
  <c r="X69" i="12"/>
  <c r="F133" i="16"/>
  <c r="K33" i="16" s="1"/>
  <c r="X68" i="12"/>
  <c r="X71" i="12"/>
  <c r="X72" i="12"/>
  <c r="AG38" i="12"/>
  <c r="AN55" i="12" s="1"/>
  <c r="H97" i="16"/>
  <c r="I100" i="16" s="1"/>
  <c r="F104" i="16" s="1"/>
  <c r="AN48" i="16"/>
  <c r="AN122" i="16" s="1"/>
  <c r="AF40" i="16"/>
  <c r="AN51" i="16"/>
  <c r="AO51" i="16" s="1"/>
  <c r="AO84" i="16" s="1"/>
  <c r="AN52" i="16"/>
  <c r="AO52" i="16" s="1"/>
  <c r="AO78" i="16" s="1"/>
  <c r="AN50" i="16"/>
  <c r="AP50" i="16" s="1"/>
  <c r="AP93" i="16" s="1"/>
  <c r="AN43" i="16"/>
  <c r="AN191" i="16" s="1"/>
  <c r="AN55" i="16"/>
  <c r="AO55" i="16" s="1"/>
  <c r="AO67" i="16" s="1"/>
  <c r="M36" i="16"/>
  <c r="AN54" i="16"/>
  <c r="AP54" i="16" s="1"/>
  <c r="AP70" i="16" s="1"/>
  <c r="AN45" i="16"/>
  <c r="AO45" i="16" s="1"/>
  <c r="AO156" i="16" s="1"/>
  <c r="AN53" i="16"/>
  <c r="AP53" i="16" s="1"/>
  <c r="AP73" i="16" s="1"/>
  <c r="AN47" i="16"/>
  <c r="AN130" i="16" s="1"/>
  <c r="AN49" i="16"/>
  <c r="AP49" i="16" s="1"/>
  <c r="AP105" i="16" s="1"/>
  <c r="AN44" i="16"/>
  <c r="AO44" i="16" s="1"/>
  <c r="AO175" i="16" s="1"/>
  <c r="AP46" i="16"/>
  <c r="AP144" i="16" s="1"/>
  <c r="AO46" i="16"/>
  <c r="AO144" i="16" s="1"/>
  <c r="AN144" i="16"/>
  <c r="Z82" i="16"/>
  <c r="Z66" i="16"/>
  <c r="AR42" i="16"/>
  <c r="AP38" i="16"/>
  <c r="AF40" i="14"/>
  <c r="AN47" i="14"/>
  <c r="AN48" i="14"/>
  <c r="AN52" i="14"/>
  <c r="AN55" i="14"/>
  <c r="AN51" i="14"/>
  <c r="AN46" i="14"/>
  <c r="AN45" i="14"/>
  <c r="M36" i="14"/>
  <c r="AN43" i="14"/>
  <c r="AN191" i="14" s="1"/>
  <c r="AN50" i="14"/>
  <c r="AN49" i="14"/>
  <c r="AN53" i="14"/>
  <c r="AN44" i="14"/>
  <c r="AN54" i="14"/>
  <c r="AP38" i="14"/>
  <c r="AR42" i="14"/>
  <c r="F133" i="14"/>
  <c r="K33" i="14" s="1"/>
  <c r="Z82" i="14"/>
  <c r="Z66" i="14"/>
  <c r="H98" i="12"/>
  <c r="H94" i="12"/>
  <c r="J95" i="12" s="1"/>
  <c r="F107" i="12" s="1"/>
  <c r="Z83" i="12"/>
  <c r="Z67" i="12"/>
  <c r="I132" i="12" l="1"/>
  <c r="H127" i="12"/>
  <c r="J128" i="12" s="1"/>
  <c r="AR42" i="12"/>
  <c r="AR51" i="12" s="1"/>
  <c r="AN84" i="16"/>
  <c r="AP51" i="16"/>
  <c r="AP84" i="16" s="1"/>
  <c r="AT50" i="12"/>
  <c r="AR47" i="12"/>
  <c r="M41" i="12"/>
  <c r="H94" i="14"/>
  <c r="J95" i="14" s="1"/>
  <c r="F107" i="14" s="1"/>
  <c r="H98" i="14"/>
  <c r="AO48" i="16"/>
  <c r="AO122" i="16" s="1"/>
  <c r="M46" i="12"/>
  <c r="AT53" i="12"/>
  <c r="M42" i="12"/>
  <c r="AR50" i="12"/>
  <c r="M51" i="12"/>
  <c r="M48" i="12"/>
  <c r="L38" i="12"/>
  <c r="M44" i="12"/>
  <c r="M45" i="12"/>
  <c r="L49" i="12"/>
  <c r="AR46" i="12"/>
  <c r="L39" i="12"/>
  <c r="AT47" i="12"/>
  <c r="AR43" i="12"/>
  <c r="AT56" i="12"/>
  <c r="AP38" i="12"/>
  <c r="AT51" i="12"/>
  <c r="AP48" i="16"/>
  <c r="AP122" i="16" s="1"/>
  <c r="AP44" i="16"/>
  <c r="AP175" i="16" s="1"/>
  <c r="AN70" i="16"/>
  <c r="AO50" i="16"/>
  <c r="AO93" i="16" s="1"/>
  <c r="AN45" i="12"/>
  <c r="AN156" i="12" s="1"/>
  <c r="AN53" i="12"/>
  <c r="AO53" i="12" s="1"/>
  <c r="AO73" i="12" s="1"/>
  <c r="AN46" i="12"/>
  <c r="AP46" i="12" s="1"/>
  <c r="AP144" i="12" s="1"/>
  <c r="AN43" i="12"/>
  <c r="AN191" i="12" s="1"/>
  <c r="AF40" i="12"/>
  <c r="AN48" i="12"/>
  <c r="AN122" i="12" s="1"/>
  <c r="AN49" i="12"/>
  <c r="AO49" i="12" s="1"/>
  <c r="AO105" i="12" s="1"/>
  <c r="AN54" i="12"/>
  <c r="AO54" i="12" s="1"/>
  <c r="AO70" i="12" s="1"/>
  <c r="AN47" i="12"/>
  <c r="AP47" i="12" s="1"/>
  <c r="AP130" i="12" s="1"/>
  <c r="M36" i="12"/>
  <c r="AN50" i="12"/>
  <c r="AO50" i="12" s="1"/>
  <c r="AO93" i="12" s="1"/>
  <c r="AP55" i="16"/>
  <c r="AP67" i="16" s="1"/>
  <c r="AN44" i="12"/>
  <c r="AN175" i="12" s="1"/>
  <c r="AN52" i="12"/>
  <c r="AN78" i="12" s="1"/>
  <c r="AN51" i="12"/>
  <c r="AN84" i="12" s="1"/>
  <c r="AP55" i="12"/>
  <c r="AP67" i="12" s="1"/>
  <c r="AO55" i="12"/>
  <c r="AO67" i="12" s="1"/>
  <c r="AN67" i="12"/>
  <c r="AN105" i="16"/>
  <c r="AN73" i="16"/>
  <c r="AO49" i="16"/>
  <c r="AO105" i="16" s="1"/>
  <c r="AO54" i="16"/>
  <c r="AO70" i="16" s="1"/>
  <c r="AN67" i="16"/>
  <c r="AN93" i="16"/>
  <c r="AO53" i="16"/>
  <c r="AO73" i="16" s="1"/>
  <c r="AN175" i="16"/>
  <c r="AO47" i="16"/>
  <c r="AO130" i="16" s="1"/>
  <c r="AP45" i="16"/>
  <c r="AP156" i="16" s="1"/>
  <c r="AP52" i="16"/>
  <c r="AP78" i="16" s="1"/>
  <c r="AP47" i="16"/>
  <c r="AP130" i="16" s="1"/>
  <c r="AN156" i="16"/>
  <c r="AN78" i="16"/>
  <c r="L39" i="16"/>
  <c r="M39" i="16"/>
  <c r="L40" i="16"/>
  <c r="M40" i="16"/>
  <c r="L46" i="16"/>
  <c r="M46" i="16"/>
  <c r="L38" i="16"/>
  <c r="M38" i="16"/>
  <c r="L45" i="16"/>
  <c r="M45" i="16"/>
  <c r="AP43" i="16"/>
  <c r="AP191" i="16" s="1"/>
  <c r="AO43" i="16"/>
  <c r="AO191" i="16" s="1"/>
  <c r="L51" i="16"/>
  <c r="M51" i="16"/>
  <c r="L48" i="16"/>
  <c r="M48" i="16"/>
  <c r="L47" i="16"/>
  <c r="M47" i="16"/>
  <c r="L50" i="16"/>
  <c r="M50" i="16"/>
  <c r="L42" i="16"/>
  <c r="M42" i="16"/>
  <c r="L49" i="16"/>
  <c r="M49" i="16"/>
  <c r="L41" i="16"/>
  <c r="M41" i="16"/>
  <c r="AT45" i="16"/>
  <c r="AR50" i="16"/>
  <c r="AR54" i="16"/>
  <c r="AT52" i="16"/>
  <c r="AR53" i="16"/>
  <c r="AT44" i="16"/>
  <c r="AR56" i="16"/>
  <c r="AR45" i="16"/>
  <c r="AT47" i="16"/>
  <c r="AT53" i="16"/>
  <c r="AT46" i="16"/>
  <c r="AT51" i="16"/>
  <c r="AR44" i="16"/>
  <c r="AT54" i="16"/>
  <c r="AT43" i="16"/>
  <c r="AR51" i="16"/>
  <c r="AT56" i="16"/>
  <c r="AT50" i="16"/>
  <c r="AT48" i="16"/>
  <c r="AR49" i="16"/>
  <c r="AR52" i="16"/>
  <c r="AR48" i="16"/>
  <c r="AT49" i="16"/>
  <c r="AT55" i="16"/>
  <c r="AR47" i="16"/>
  <c r="AR55" i="16"/>
  <c r="AR43" i="16"/>
  <c r="AR46" i="16"/>
  <c r="I101" i="16"/>
  <c r="L44" i="16"/>
  <c r="M44" i="16"/>
  <c r="L43" i="16"/>
  <c r="M43" i="16"/>
  <c r="Z67" i="16"/>
  <c r="Z83" i="16"/>
  <c r="L43" i="14"/>
  <c r="M43" i="14"/>
  <c r="M42" i="14"/>
  <c r="L42" i="14"/>
  <c r="M41" i="14"/>
  <c r="L41" i="14"/>
  <c r="AR52" i="14"/>
  <c r="AT45" i="14"/>
  <c r="AT51" i="14"/>
  <c r="AT47" i="14"/>
  <c r="AT50" i="14"/>
  <c r="AT55" i="14"/>
  <c r="AR55" i="14"/>
  <c r="AR56" i="14"/>
  <c r="AR45" i="14"/>
  <c r="AT53" i="14"/>
  <c r="AR54" i="14"/>
  <c r="AT49" i="14"/>
  <c r="AT52" i="14"/>
  <c r="AT56" i="14"/>
  <c r="AT44" i="14"/>
  <c r="AT46" i="14"/>
  <c r="AR53" i="14"/>
  <c r="AR47" i="14"/>
  <c r="AT54" i="14"/>
  <c r="AT43" i="14"/>
  <c r="AR43" i="14"/>
  <c r="AR49" i="14"/>
  <c r="AR48" i="14"/>
  <c r="AR46" i="14"/>
  <c r="AR50" i="14"/>
  <c r="AR51" i="14"/>
  <c r="AR44" i="14"/>
  <c r="AT48" i="14"/>
  <c r="M47" i="14"/>
  <c r="L47" i="14"/>
  <c r="L46" i="14"/>
  <c r="M46" i="14"/>
  <c r="L45" i="14"/>
  <c r="M45" i="14"/>
  <c r="AO43" i="14"/>
  <c r="AO191" i="14" s="1"/>
  <c r="AP43" i="14"/>
  <c r="AP191" i="14" s="1"/>
  <c r="AO44" i="14"/>
  <c r="AO175" i="14" s="1"/>
  <c r="AN175" i="14"/>
  <c r="AP44" i="14"/>
  <c r="AP175" i="14" s="1"/>
  <c r="AP49" i="14"/>
  <c r="AP105" i="14" s="1"/>
  <c r="AN105" i="14"/>
  <c r="AO49" i="14"/>
  <c r="AO105" i="14" s="1"/>
  <c r="AN156" i="14"/>
  <c r="AO45" i="14"/>
  <c r="AO156" i="14" s="1"/>
  <c r="AP45" i="14"/>
  <c r="AP156" i="14" s="1"/>
  <c r="AN84" i="14"/>
  <c r="AP51" i="14"/>
  <c r="AP84" i="14" s="1"/>
  <c r="AO51" i="14"/>
  <c r="AO84" i="14" s="1"/>
  <c r="AN78" i="14"/>
  <c r="AO52" i="14"/>
  <c r="AO78" i="14" s="1"/>
  <c r="AP52" i="14"/>
  <c r="AP78" i="14" s="1"/>
  <c r="AP47" i="14"/>
  <c r="AP130" i="14" s="1"/>
  <c r="AN130" i="14"/>
  <c r="AO47" i="14"/>
  <c r="AO130" i="14" s="1"/>
  <c r="L40" i="14"/>
  <c r="M40" i="14"/>
  <c r="L50" i="14"/>
  <c r="M50" i="14"/>
  <c r="M49" i="14"/>
  <c r="L49" i="14"/>
  <c r="M51" i="14"/>
  <c r="L51" i="14"/>
  <c r="L44" i="14"/>
  <c r="M44" i="14"/>
  <c r="M39" i="14"/>
  <c r="L39" i="14"/>
  <c r="L38" i="14"/>
  <c r="M38" i="14"/>
  <c r="M48" i="14"/>
  <c r="L48" i="14"/>
  <c r="AO54" i="14"/>
  <c r="AO70" i="14" s="1"/>
  <c r="AP54" i="14"/>
  <c r="AP70" i="14" s="1"/>
  <c r="AN70" i="14"/>
  <c r="AN73" i="14"/>
  <c r="AP53" i="14"/>
  <c r="AP73" i="14" s="1"/>
  <c r="AO53" i="14"/>
  <c r="AO73" i="14" s="1"/>
  <c r="AP50" i="14"/>
  <c r="AP93" i="14" s="1"/>
  <c r="AO50" i="14"/>
  <c r="AO93" i="14" s="1"/>
  <c r="AN93" i="14"/>
  <c r="AP46" i="14"/>
  <c r="AP144" i="14" s="1"/>
  <c r="AO46" i="14"/>
  <c r="AO144" i="14" s="1"/>
  <c r="AN144" i="14"/>
  <c r="AP55" i="14"/>
  <c r="AP67" i="14" s="1"/>
  <c r="AO55" i="14"/>
  <c r="AO67" i="14" s="1"/>
  <c r="AN67" i="14"/>
  <c r="AP48" i="14"/>
  <c r="AP122" i="14" s="1"/>
  <c r="AO48" i="14"/>
  <c r="AO122" i="14" s="1"/>
  <c r="AN122" i="14"/>
  <c r="Z67" i="14"/>
  <c r="Z83" i="14"/>
  <c r="H97" i="12"/>
  <c r="I100" i="12" s="1"/>
  <c r="F104" i="12" s="1"/>
  <c r="F133" i="12"/>
  <c r="K33" i="12" s="1"/>
  <c r="Z84" i="12"/>
  <c r="Z68" i="12"/>
  <c r="E31" i="7"/>
  <c r="D31" i="7"/>
  <c r="C31" i="7"/>
  <c r="G31" i="7"/>
  <c r="B31" i="7"/>
  <c r="AT48" i="12" l="1"/>
  <c r="AT44" i="12"/>
  <c r="AT45" i="12"/>
  <c r="AR49" i="12"/>
  <c r="AR45" i="12"/>
  <c r="AT43" i="12"/>
  <c r="AR55" i="12"/>
  <c r="AR53" i="12"/>
  <c r="AT52" i="12"/>
  <c r="AR44" i="12"/>
  <c r="AT46" i="12"/>
  <c r="AR48" i="12"/>
  <c r="AT55" i="12"/>
  <c r="AT49" i="12"/>
  <c r="AT54" i="12"/>
  <c r="AR56" i="12"/>
  <c r="AR52" i="12"/>
  <c r="AR54" i="12"/>
  <c r="L41" i="12"/>
  <c r="H97" i="14"/>
  <c r="I100" i="14" s="1"/>
  <c r="F104" i="14" s="1"/>
  <c r="L44" i="12"/>
  <c r="L48" i="12"/>
  <c r="L46" i="12"/>
  <c r="M50" i="12"/>
  <c r="L50" i="12"/>
  <c r="M47" i="12"/>
  <c r="L47" i="12"/>
  <c r="L45" i="12"/>
  <c r="L42" i="12"/>
  <c r="AO47" i="12"/>
  <c r="AO130" i="12" s="1"/>
  <c r="L51" i="12"/>
  <c r="AP53" i="12"/>
  <c r="AP73" i="12" s="1"/>
  <c r="AP52" i="12"/>
  <c r="AP78" i="12" s="1"/>
  <c r="AP54" i="12"/>
  <c r="AP70" i="12" s="1"/>
  <c r="M49" i="12"/>
  <c r="AN70" i="12"/>
  <c r="AO52" i="12"/>
  <c r="AO78" i="12" s="1"/>
  <c r="M38" i="12"/>
  <c r="M39" i="12"/>
  <c r="M40" i="12"/>
  <c r="L40" i="12"/>
  <c r="AN130" i="12"/>
  <c r="AN105" i="12"/>
  <c r="AP45" i="12"/>
  <c r="AP156" i="12" s="1"/>
  <c r="AO45" i="12"/>
  <c r="AO156" i="12" s="1"/>
  <c r="AO43" i="12"/>
  <c r="AO191" i="12" s="1"/>
  <c r="AP43" i="12"/>
  <c r="AP191" i="12" s="1"/>
  <c r="AN73" i="12"/>
  <c r="AP48" i="12"/>
  <c r="AP122" i="12" s="1"/>
  <c r="L43" i="12"/>
  <c r="M43" i="12"/>
  <c r="AO48" i="12"/>
  <c r="AO122" i="12" s="1"/>
  <c r="AP44" i="12"/>
  <c r="AP175" i="12" s="1"/>
  <c r="AN144" i="12"/>
  <c r="AO44" i="12"/>
  <c r="AO175" i="12" s="1"/>
  <c r="AP51" i="12"/>
  <c r="AP84" i="12" s="1"/>
  <c r="AO46" i="12"/>
  <c r="AO144" i="12" s="1"/>
  <c r="AN93" i="12"/>
  <c r="AO51" i="12"/>
  <c r="AO84" i="12" s="1"/>
  <c r="AP49" i="12"/>
  <c r="AP105" i="12" s="1"/>
  <c r="AP50" i="12"/>
  <c r="AP93" i="12" s="1"/>
  <c r="Z84" i="16"/>
  <c r="Z68" i="16"/>
  <c r="F105" i="16"/>
  <c r="I102" i="16"/>
  <c r="F106" i="16" s="1"/>
  <c r="AW39" i="16"/>
  <c r="AW38" i="16"/>
  <c r="AW39" i="14"/>
  <c r="AW38" i="14"/>
  <c r="Z68" i="14"/>
  <c r="Z84" i="14"/>
  <c r="I101" i="12"/>
  <c r="Z69" i="12"/>
  <c r="Z85" i="12"/>
  <c r="K12" i="8"/>
  <c r="H8" i="8"/>
  <c r="H7" i="8"/>
  <c r="H1" i="2"/>
  <c r="J4" i="8"/>
  <c r="J5" i="8"/>
  <c r="G7" i="8"/>
  <c r="G8" i="8"/>
  <c r="G9" i="8"/>
  <c r="H9" i="8"/>
  <c r="G10" i="8"/>
  <c r="H10" i="8"/>
  <c r="J12" i="8"/>
  <c r="L12" i="8"/>
  <c r="F13" i="8"/>
  <c r="I13" i="8"/>
  <c r="J13" i="8"/>
  <c r="L13" i="8"/>
  <c r="N13" i="8"/>
  <c r="F14" i="8"/>
  <c r="G14" i="8"/>
  <c r="H14" i="8"/>
  <c r="I14" i="8"/>
  <c r="J14" i="8"/>
  <c r="K14" i="8"/>
  <c r="L14" i="8"/>
  <c r="N14" i="8"/>
  <c r="E15" i="8"/>
  <c r="F15" i="8"/>
  <c r="G15" i="8"/>
  <c r="H15" i="8"/>
  <c r="I15" i="8"/>
  <c r="J15" i="8"/>
  <c r="K15" i="8"/>
  <c r="L15" i="8"/>
  <c r="M15" i="8"/>
  <c r="N15" i="8"/>
  <c r="C16" i="8"/>
  <c r="E16" i="8"/>
  <c r="F16" i="8"/>
  <c r="G16" i="8"/>
  <c r="H16" i="8"/>
  <c r="I16" i="8"/>
  <c r="J16" i="8"/>
  <c r="K16" i="8"/>
  <c r="C17" i="8"/>
  <c r="E17" i="8"/>
  <c r="F17" i="8"/>
  <c r="G17" i="8"/>
  <c r="H17" i="8"/>
  <c r="I17" i="8"/>
  <c r="J17" i="8"/>
  <c r="K17" i="8"/>
  <c r="C18" i="8"/>
  <c r="E18" i="8"/>
  <c r="F18" i="8"/>
  <c r="G18" i="8"/>
  <c r="H18" i="8"/>
  <c r="I18" i="8"/>
  <c r="J18" i="8"/>
  <c r="K18" i="8"/>
  <c r="C19" i="8"/>
  <c r="E19" i="8"/>
  <c r="F19" i="8"/>
  <c r="G19" i="8"/>
  <c r="H19" i="8"/>
  <c r="I19" i="8"/>
  <c r="J19" i="8"/>
  <c r="K19" i="8"/>
  <c r="C20" i="8"/>
  <c r="E20" i="8"/>
  <c r="F20" i="8"/>
  <c r="G20" i="8"/>
  <c r="H20" i="8"/>
  <c r="I20" i="8"/>
  <c r="J20" i="8"/>
  <c r="K20" i="8"/>
  <c r="C21" i="8"/>
  <c r="E21" i="8"/>
  <c r="F21" i="8"/>
  <c r="G21" i="8"/>
  <c r="H21" i="8"/>
  <c r="I21" i="8"/>
  <c r="J21" i="8"/>
  <c r="K21" i="8"/>
  <c r="O21" i="8"/>
  <c r="P21" i="8"/>
  <c r="Q21" i="8"/>
  <c r="R21" i="8"/>
  <c r="C22" i="8"/>
  <c r="E22" i="8"/>
  <c r="F22" i="8"/>
  <c r="G22" i="8"/>
  <c r="H22" i="8"/>
  <c r="I22" i="8"/>
  <c r="J22" i="8"/>
  <c r="K22" i="8"/>
  <c r="C23" i="8"/>
  <c r="E23" i="8"/>
  <c r="F23" i="8"/>
  <c r="G23" i="8"/>
  <c r="H23" i="8"/>
  <c r="I23" i="8"/>
  <c r="J23" i="8"/>
  <c r="K23" i="8"/>
  <c r="C24" i="8"/>
  <c r="E24" i="8"/>
  <c r="F24" i="8"/>
  <c r="G24" i="8"/>
  <c r="H24" i="8"/>
  <c r="I24" i="8"/>
  <c r="J24" i="8"/>
  <c r="K24" i="8"/>
  <c r="C25" i="8"/>
  <c r="E25" i="8"/>
  <c r="F25" i="8"/>
  <c r="G25" i="8"/>
  <c r="H25" i="8"/>
  <c r="I25" i="8"/>
  <c r="J25" i="8"/>
  <c r="K25" i="8"/>
  <c r="C26" i="8"/>
  <c r="E26" i="8"/>
  <c r="F26" i="8"/>
  <c r="G26" i="8"/>
  <c r="H26" i="8"/>
  <c r="I26" i="8"/>
  <c r="J26" i="8"/>
  <c r="K26" i="8"/>
  <c r="C27" i="8"/>
  <c r="E27" i="8"/>
  <c r="F27" i="8"/>
  <c r="G27" i="8"/>
  <c r="H27" i="8"/>
  <c r="I27" i="8"/>
  <c r="J27" i="8"/>
  <c r="K27" i="8"/>
  <c r="C28" i="8"/>
  <c r="E28" i="8"/>
  <c r="F28" i="8"/>
  <c r="G28" i="8"/>
  <c r="H28" i="8"/>
  <c r="I28" i="8"/>
  <c r="J28" i="8"/>
  <c r="K28" i="8"/>
  <c r="E29" i="8"/>
  <c r="F29" i="8"/>
  <c r="G29" i="8"/>
  <c r="H29" i="8"/>
  <c r="I29" i="8"/>
  <c r="J29" i="8"/>
  <c r="K29" i="8"/>
  <c r="E30" i="8"/>
  <c r="H30" i="8"/>
  <c r="I30" i="8"/>
  <c r="J30" i="8"/>
  <c r="K30" i="8"/>
  <c r="I31" i="8"/>
  <c r="I32" i="8"/>
  <c r="J35" i="8"/>
  <c r="L36" i="8"/>
  <c r="J37" i="8"/>
  <c r="K37" i="8"/>
  <c r="L37" i="8"/>
  <c r="M37" i="8"/>
  <c r="J38" i="8"/>
  <c r="J39" i="8"/>
  <c r="J40" i="8"/>
  <c r="J41" i="8"/>
  <c r="J42" i="8"/>
  <c r="AL42" i="8"/>
  <c r="AG42" i="8" s="1"/>
  <c r="AM42" i="8"/>
  <c r="AF42" i="8" s="1"/>
  <c r="AS42" i="8"/>
  <c r="AT42" i="8"/>
  <c r="J43" i="8"/>
  <c r="AL43" i="8"/>
  <c r="J44" i="8"/>
  <c r="AL44" i="8"/>
  <c r="AG55" i="8" s="1"/>
  <c r="J45" i="8"/>
  <c r="AL45" i="8"/>
  <c r="AG54" i="8" s="1"/>
  <c r="J46" i="8"/>
  <c r="AL46" i="8"/>
  <c r="AG53" i="8" s="1"/>
  <c r="J47" i="8"/>
  <c r="AL47" i="8"/>
  <c r="J48" i="8"/>
  <c r="AL48" i="8"/>
  <c r="AG51" i="8" s="1"/>
  <c r="J49" i="8"/>
  <c r="AL49" i="8"/>
  <c r="J50" i="8"/>
  <c r="AG50" i="8"/>
  <c r="AL50" i="8"/>
  <c r="AG49" i="8" s="1"/>
  <c r="F51" i="8"/>
  <c r="J51" i="8"/>
  <c r="AL51" i="8"/>
  <c r="AG48" i="8" s="1"/>
  <c r="AG52" i="8"/>
  <c r="AL52" i="8"/>
  <c r="AG47" i="8" s="1"/>
  <c r="AL53" i="8"/>
  <c r="AG46" i="8" s="1"/>
  <c r="AL54" i="8"/>
  <c r="AG45" i="8" s="1"/>
  <c r="AL55" i="8"/>
  <c r="AG44" i="8" s="1"/>
  <c r="AG56" i="8"/>
  <c r="AL56" i="8"/>
  <c r="AG43" i="8" s="1"/>
  <c r="AO56" i="8"/>
  <c r="AP56" i="8"/>
  <c r="AQ60" i="8"/>
  <c r="AH61" i="8"/>
  <c r="AQ61" i="8"/>
  <c r="AH62" i="8"/>
  <c r="AI62" i="8" s="1"/>
  <c r="AQ62" i="8"/>
  <c r="AH63" i="8"/>
  <c r="AQ63" i="8"/>
  <c r="AH64" i="8"/>
  <c r="AI64" i="8" s="1"/>
  <c r="AQ64" i="8"/>
  <c r="Y65" i="8"/>
  <c r="AH65" i="8"/>
  <c r="AQ65" i="8"/>
  <c r="T66" i="8"/>
  <c r="U66" i="8"/>
  <c r="Y66" i="8"/>
  <c r="AH66" i="8"/>
  <c r="AQ66" i="8"/>
  <c r="T67" i="8"/>
  <c r="U67" i="8"/>
  <c r="Y67" i="8"/>
  <c r="AH67" i="8"/>
  <c r="AI67" i="8"/>
  <c r="T68" i="8"/>
  <c r="U68" i="8"/>
  <c r="Y68" i="8"/>
  <c r="AH68" i="8"/>
  <c r="AI68" i="8" s="1"/>
  <c r="AQ68" i="8"/>
  <c r="T69" i="8"/>
  <c r="T65" i="8" s="1"/>
  <c r="U69" i="8"/>
  <c r="U65" i="8" s="1"/>
  <c r="Y69" i="8"/>
  <c r="AH69" i="8"/>
  <c r="AQ69" i="8"/>
  <c r="Y70" i="8"/>
  <c r="AH70" i="8"/>
  <c r="AI70" i="8" s="1"/>
  <c r="AQ70" i="8"/>
  <c r="Y71" i="8"/>
  <c r="AH71" i="8"/>
  <c r="AH46" i="8" s="1"/>
  <c r="AQ71" i="8"/>
  <c r="Y72" i="8"/>
  <c r="AH72" i="8"/>
  <c r="AQ72" i="8"/>
  <c r="T73" i="8"/>
  <c r="U73" i="8"/>
  <c r="Y73" i="8"/>
  <c r="AH73" i="8"/>
  <c r="AQ73" i="8"/>
  <c r="T74" i="8"/>
  <c r="Y74" i="8"/>
  <c r="Z74" i="8"/>
  <c r="AH74" i="8"/>
  <c r="AQ74" i="8"/>
  <c r="Y75" i="8"/>
  <c r="Z75" i="8"/>
  <c r="AQ75" i="8"/>
  <c r="T76" i="8"/>
  <c r="U76" i="8"/>
  <c r="Y76" i="8"/>
  <c r="Z76" i="8"/>
  <c r="AQ76" i="8"/>
  <c r="T77" i="8"/>
  <c r="T75" i="8" s="1"/>
  <c r="Y77" i="8"/>
  <c r="AQ77" i="8"/>
  <c r="AQ78" i="8"/>
  <c r="T79" i="8"/>
  <c r="U79" i="8"/>
  <c r="AQ79" i="8"/>
  <c r="T80" i="8"/>
  <c r="T81" i="8" s="1"/>
  <c r="T82" i="8" s="1"/>
  <c r="AQ80" i="8"/>
  <c r="AQ81" i="8"/>
  <c r="AQ82" i="8"/>
  <c r="AA83" i="8"/>
  <c r="AQ83" i="8"/>
  <c r="T84" i="8"/>
  <c r="U84" i="8"/>
  <c r="AA84" i="8"/>
  <c r="AA85" i="8" s="1"/>
  <c r="AA86" i="8" s="1"/>
  <c r="AA87" i="8" s="1"/>
  <c r="AQ84" i="8"/>
  <c r="AQ85" i="8"/>
  <c r="AQ86" i="8"/>
  <c r="AQ87" i="8"/>
  <c r="AQ88" i="8"/>
  <c r="AQ89" i="8"/>
  <c r="AQ90" i="8"/>
  <c r="AQ91" i="8"/>
  <c r="AQ92" i="8"/>
  <c r="AQ93" i="8"/>
  <c r="AQ94" i="8"/>
  <c r="AQ95" i="8"/>
  <c r="AQ96" i="8"/>
  <c r="AQ97" i="8"/>
  <c r="AQ98" i="8"/>
  <c r="AQ99" i="8"/>
  <c r="AQ100" i="8"/>
  <c r="AQ101" i="8"/>
  <c r="AQ102" i="8"/>
  <c r="AQ103" i="8"/>
  <c r="I104" i="8"/>
  <c r="AQ104" i="8"/>
  <c r="I105" i="8"/>
  <c r="AQ105" i="8"/>
  <c r="I106" i="8"/>
  <c r="AQ106" i="8"/>
  <c r="I107" i="8"/>
  <c r="AQ107" i="8"/>
  <c r="I108" i="8"/>
  <c r="AQ108" i="8"/>
  <c r="AQ109" i="8"/>
  <c r="AQ110" i="8"/>
  <c r="AQ111" i="8"/>
  <c r="AQ112" i="8"/>
  <c r="AQ113" i="8"/>
  <c r="AQ114" i="8"/>
  <c r="AQ115" i="8"/>
  <c r="AQ116" i="8"/>
  <c r="AQ117" i="8"/>
  <c r="AQ118" i="8"/>
  <c r="AQ119" i="8"/>
  <c r="AQ120" i="8"/>
  <c r="AQ121" i="8"/>
  <c r="AQ122" i="8"/>
  <c r="AQ123" i="8"/>
  <c r="AQ124" i="8"/>
  <c r="AQ125" i="8"/>
  <c r="AQ126" i="8"/>
  <c r="AQ127" i="8"/>
  <c r="AQ128" i="8"/>
  <c r="AQ129" i="8"/>
  <c r="AQ130" i="8"/>
  <c r="H131" i="8"/>
  <c r="AQ131" i="8"/>
  <c r="H132" i="8"/>
  <c r="AQ132" i="8"/>
  <c r="AQ133" i="8"/>
  <c r="AQ134" i="8"/>
  <c r="AQ135" i="8"/>
  <c r="AQ136" i="8"/>
  <c r="AQ137" i="8"/>
  <c r="AQ138" i="8"/>
  <c r="AQ139" i="8"/>
  <c r="AQ140" i="8"/>
  <c r="AQ141" i="8"/>
  <c r="AQ142" i="8"/>
  <c r="AQ143" i="8"/>
  <c r="AQ144" i="8"/>
  <c r="AQ145" i="8"/>
  <c r="AQ146" i="8"/>
  <c r="AQ147" i="8"/>
  <c r="AQ148" i="8"/>
  <c r="AQ149" i="8"/>
  <c r="AQ150" i="8"/>
  <c r="AQ151" i="8"/>
  <c r="AQ152" i="8"/>
  <c r="AQ153" i="8"/>
  <c r="AQ154" i="8"/>
  <c r="AQ155" i="8"/>
  <c r="AQ156" i="8"/>
  <c r="AQ157" i="8"/>
  <c r="AQ158" i="8"/>
  <c r="AQ159" i="8"/>
  <c r="AQ160" i="8"/>
  <c r="AQ161" i="8"/>
  <c r="AQ162" i="8"/>
  <c r="AQ163" i="8"/>
  <c r="AQ164" i="8"/>
  <c r="AQ165" i="8"/>
  <c r="AQ166" i="8"/>
  <c r="AQ167" i="8"/>
  <c r="AQ168" i="8"/>
  <c r="AQ169" i="8"/>
  <c r="AQ170" i="8"/>
  <c r="AQ171" i="8"/>
  <c r="AQ172" i="8"/>
  <c r="AQ173" i="8"/>
  <c r="AQ174" i="8"/>
  <c r="AQ175" i="8"/>
  <c r="AQ176" i="8"/>
  <c r="AQ177" i="8"/>
  <c r="AQ178" i="8"/>
  <c r="AQ179" i="8"/>
  <c r="AQ180" i="8"/>
  <c r="AQ181" i="8"/>
  <c r="AQ182" i="8"/>
  <c r="AQ183" i="8"/>
  <c r="AQ184" i="8"/>
  <c r="AQ185" i="8"/>
  <c r="AQ186" i="8"/>
  <c r="AQ187" i="8"/>
  <c r="AQ188" i="8"/>
  <c r="AQ189" i="8"/>
  <c r="AQ190" i="8"/>
  <c r="AQ191" i="8"/>
  <c r="AQ192" i="8"/>
  <c r="AQ193" i="8"/>
  <c r="AQ194" i="8"/>
  <c r="AQ195" i="8"/>
  <c r="AQ196" i="8"/>
  <c r="AQ197" i="8"/>
  <c r="AQ198" i="8"/>
  <c r="L4" i="7"/>
  <c r="O8" i="8" s="1"/>
  <c r="M4" i="7"/>
  <c r="P8" i="8" s="1"/>
  <c r="N4" i="7"/>
  <c r="Q8" i="8" s="1"/>
  <c r="O4" i="7"/>
  <c r="R8" i="8" s="1"/>
  <c r="P4" i="7"/>
  <c r="X4" i="7"/>
  <c r="U75" i="8" l="1"/>
  <c r="U77" i="8" s="1"/>
  <c r="T87" i="8"/>
  <c r="T88" i="8" s="1"/>
  <c r="U74" i="8"/>
  <c r="T86" i="8"/>
  <c r="T89" i="8" s="1"/>
  <c r="AI71" i="8"/>
  <c r="AW38" i="12"/>
  <c r="AW39" i="12"/>
  <c r="AU45" i="12" s="1"/>
  <c r="AU156" i="12" s="1"/>
  <c r="I101" i="14"/>
  <c r="F105" i="14" s="1"/>
  <c r="T78" i="8"/>
  <c r="T83" i="8" s="1"/>
  <c r="F109" i="16"/>
  <c r="J33" i="16" s="1"/>
  <c r="AU56" i="16"/>
  <c r="AU60" i="16" s="1"/>
  <c r="AU55" i="16"/>
  <c r="AV55" i="16" s="1"/>
  <c r="AV67" i="16" s="1"/>
  <c r="AU54" i="16"/>
  <c r="AU70" i="16" s="1"/>
  <c r="AU53" i="16"/>
  <c r="AU45" i="16"/>
  <c r="AU46" i="16"/>
  <c r="AU43" i="16"/>
  <c r="AU44" i="16"/>
  <c r="AU52" i="16"/>
  <c r="AU49" i="16"/>
  <c r="AU51" i="16"/>
  <c r="AU47" i="16"/>
  <c r="Z69" i="16"/>
  <c r="Z85" i="16"/>
  <c r="AU50" i="16"/>
  <c r="AU48" i="16"/>
  <c r="AU55" i="14"/>
  <c r="AU43" i="14"/>
  <c r="AU45" i="14"/>
  <c r="AU54" i="14"/>
  <c r="AU52" i="14"/>
  <c r="AU51" i="14"/>
  <c r="AU53" i="14"/>
  <c r="AU50" i="14"/>
  <c r="AU46" i="14"/>
  <c r="AU44" i="14"/>
  <c r="AU47" i="14"/>
  <c r="AU48" i="14"/>
  <c r="AU56" i="14"/>
  <c r="AU49" i="14"/>
  <c r="Z69" i="14"/>
  <c r="Z85" i="14"/>
  <c r="Z70" i="12"/>
  <c r="Z86" i="12"/>
  <c r="I102" i="12"/>
  <c r="F106" i="12" s="1"/>
  <c r="F105" i="12"/>
  <c r="I70" i="8"/>
  <c r="U78" i="8"/>
  <c r="U83" i="8" s="1"/>
  <c r="U80" i="8"/>
  <c r="U82" i="8" s="1"/>
  <c r="U81" i="8"/>
  <c r="AH43" i="8"/>
  <c r="AK56" i="8"/>
  <c r="AH44" i="8"/>
  <c r="AK55" i="8"/>
  <c r="AH45" i="8"/>
  <c r="AK54" i="8"/>
  <c r="AI74" i="8"/>
  <c r="AI73" i="8"/>
  <c r="AI72" i="8"/>
  <c r="AK51" i="8"/>
  <c r="AH48" i="8"/>
  <c r="AK48" i="8"/>
  <c r="AH51" i="8"/>
  <c r="AH52" i="8"/>
  <c r="AK47" i="8"/>
  <c r="AK45" i="8"/>
  <c r="AK43" i="8"/>
  <c r="AH56" i="8"/>
  <c r="AH54" i="8"/>
  <c r="AK53" i="8"/>
  <c r="AH47" i="8"/>
  <c r="AK52" i="8"/>
  <c r="AI69" i="8"/>
  <c r="AH49" i="8"/>
  <c r="AK50" i="8"/>
  <c r="AK49" i="8"/>
  <c r="AH50" i="8"/>
  <c r="AI66" i="8"/>
  <c r="AI65" i="8"/>
  <c r="AK46" i="8"/>
  <c r="AI63" i="8"/>
  <c r="AK44" i="8"/>
  <c r="AI61" i="8"/>
  <c r="AH55" i="8"/>
  <c r="AH53" i="8"/>
  <c r="AU48" i="12" l="1"/>
  <c r="AV48" i="12" s="1"/>
  <c r="AV122" i="12" s="1"/>
  <c r="AU56" i="12"/>
  <c r="AU55" i="12"/>
  <c r="AW55" i="12" s="1"/>
  <c r="AW67" i="12" s="1"/>
  <c r="AU43" i="12"/>
  <c r="AU191" i="12" s="1"/>
  <c r="AU54" i="12"/>
  <c r="AW54" i="12" s="1"/>
  <c r="AW70" i="12" s="1"/>
  <c r="AU46" i="12"/>
  <c r="AW46" i="12" s="1"/>
  <c r="AW144" i="12" s="1"/>
  <c r="AU53" i="12"/>
  <c r="AW53" i="12" s="1"/>
  <c r="AW73" i="12" s="1"/>
  <c r="AU50" i="12"/>
  <c r="AW50" i="12" s="1"/>
  <c r="AW93" i="12" s="1"/>
  <c r="AU52" i="12"/>
  <c r="AW52" i="12" s="1"/>
  <c r="AW78" i="12" s="1"/>
  <c r="AU47" i="12"/>
  <c r="AW47" i="12" s="1"/>
  <c r="AW130" i="12" s="1"/>
  <c r="AU44" i="12"/>
  <c r="AU49" i="12"/>
  <c r="AW49" i="12" s="1"/>
  <c r="AW105" i="12" s="1"/>
  <c r="AU51" i="12"/>
  <c r="AV51" i="12" s="1"/>
  <c r="AV84" i="12" s="1"/>
  <c r="I102" i="14"/>
  <c r="F106" i="14" s="1"/>
  <c r="F109" i="14" s="1"/>
  <c r="J33" i="14" s="1"/>
  <c r="AU67" i="12"/>
  <c r="AV45" i="12"/>
  <c r="AV156" i="12" s="1"/>
  <c r="AW45" i="12"/>
  <c r="AW156" i="12" s="1"/>
  <c r="AV47" i="12"/>
  <c r="AV130" i="12" s="1"/>
  <c r="AU70" i="12"/>
  <c r="AV49" i="12"/>
  <c r="AV105" i="12" s="1"/>
  <c r="AV44" i="12"/>
  <c r="AV175" i="12" s="1"/>
  <c r="AU175" i="12"/>
  <c r="AV53" i="12"/>
  <c r="AV73" i="12" s="1"/>
  <c r="AW56" i="12"/>
  <c r="AW60" i="12" s="1"/>
  <c r="AV56" i="12"/>
  <c r="AV60" i="12" s="1"/>
  <c r="AU60" i="12"/>
  <c r="AW48" i="12"/>
  <c r="AW122" i="12" s="1"/>
  <c r="AV43" i="12"/>
  <c r="AV191" i="12" s="1"/>
  <c r="AU144" i="12"/>
  <c r="AV46" i="12"/>
  <c r="AV144" i="12" s="1"/>
  <c r="AW44" i="12"/>
  <c r="AW175" i="12" s="1"/>
  <c r="AU122" i="12"/>
  <c r="AU67" i="16"/>
  <c r="U88" i="8"/>
  <c r="AW56" i="16"/>
  <c r="AW60" i="16" s="1"/>
  <c r="AV56" i="16"/>
  <c r="AV60" i="16" s="1"/>
  <c r="AW55" i="16"/>
  <c r="AW67" i="16" s="1"/>
  <c r="AV54" i="16"/>
  <c r="AV70" i="16" s="1"/>
  <c r="AW54" i="16"/>
  <c r="AW70" i="16" s="1"/>
  <c r="AU122" i="16"/>
  <c r="AV48" i="16"/>
  <c r="AV122" i="16" s="1"/>
  <c r="AW48" i="16"/>
  <c r="AW122" i="16" s="1"/>
  <c r="Z70" i="16"/>
  <c r="Z86" i="16"/>
  <c r="AV47" i="16"/>
  <c r="AV130" i="16" s="1"/>
  <c r="AU130" i="16"/>
  <c r="AW47" i="16"/>
  <c r="AW130" i="16" s="1"/>
  <c r="AV51" i="16"/>
  <c r="AV84" i="16" s="1"/>
  <c r="AW51" i="16"/>
  <c r="AW84" i="16" s="1"/>
  <c r="AU84" i="16"/>
  <c r="AW52" i="16"/>
  <c r="AW78" i="16" s="1"/>
  <c r="AV52" i="16"/>
  <c r="AV78" i="16" s="1"/>
  <c r="AU78" i="16"/>
  <c r="AW43" i="16"/>
  <c r="AW191" i="16" s="1"/>
  <c r="AV43" i="16"/>
  <c r="AV191" i="16" s="1"/>
  <c r="AU191" i="16"/>
  <c r="AW45" i="16"/>
  <c r="AW156" i="16" s="1"/>
  <c r="AV45" i="16"/>
  <c r="AV156" i="16" s="1"/>
  <c r="AU156" i="16"/>
  <c r="AU93" i="16"/>
  <c r="AV50" i="16"/>
  <c r="AV93" i="16" s="1"/>
  <c r="AW50" i="16"/>
  <c r="AW93" i="16" s="1"/>
  <c r="AV49" i="16"/>
  <c r="AV105" i="16" s="1"/>
  <c r="AU105" i="16"/>
  <c r="AW49" i="16"/>
  <c r="AW105" i="16" s="1"/>
  <c r="AW44" i="16"/>
  <c r="AW175" i="16" s="1"/>
  <c r="AV44" i="16"/>
  <c r="AV175" i="16" s="1"/>
  <c r="AU175" i="16"/>
  <c r="AW46" i="16"/>
  <c r="AW144" i="16" s="1"/>
  <c r="AU144" i="16"/>
  <c r="AV46" i="16"/>
  <c r="AV144" i="16" s="1"/>
  <c r="AW53" i="16"/>
  <c r="AW73" i="16" s="1"/>
  <c r="AV53" i="16"/>
  <c r="AV73" i="16" s="1"/>
  <c r="AU73" i="16"/>
  <c r="AU60" i="14"/>
  <c r="AV56" i="14"/>
  <c r="AV60" i="14" s="1"/>
  <c r="AW56" i="14"/>
  <c r="AW60" i="14" s="1"/>
  <c r="AW47" i="14"/>
  <c r="AW130" i="14" s="1"/>
  <c r="AV47" i="14"/>
  <c r="AV130" i="14" s="1"/>
  <c r="AU130" i="14"/>
  <c r="AV46" i="14"/>
  <c r="AV144" i="14" s="1"/>
  <c r="AU144" i="14"/>
  <c r="AW46" i="14"/>
  <c r="AW144" i="14" s="1"/>
  <c r="AW53" i="14"/>
  <c r="AW73" i="14" s="1"/>
  <c r="AU73" i="14"/>
  <c r="AV53" i="14"/>
  <c r="AV73" i="14" s="1"/>
  <c r="AV52" i="14"/>
  <c r="AV78" i="14" s="1"/>
  <c r="AU78" i="14"/>
  <c r="AW52" i="14"/>
  <c r="AW78" i="14" s="1"/>
  <c r="AV45" i="14"/>
  <c r="AV156" i="14" s="1"/>
  <c r="AU156" i="14"/>
  <c r="AW45" i="14"/>
  <c r="AW156" i="14" s="1"/>
  <c r="AU67" i="14"/>
  <c r="AV55" i="14"/>
  <c r="AV67" i="14" s="1"/>
  <c r="AW55" i="14"/>
  <c r="AW67" i="14" s="1"/>
  <c r="AW49" i="14"/>
  <c r="AW105" i="14" s="1"/>
  <c r="AV49" i="14"/>
  <c r="AV105" i="14" s="1"/>
  <c r="AU105" i="14"/>
  <c r="AU122" i="14"/>
  <c r="AV48" i="14"/>
  <c r="AV122" i="14" s="1"/>
  <c r="AW48" i="14"/>
  <c r="AW122" i="14" s="1"/>
  <c r="AW44" i="14"/>
  <c r="AW175" i="14" s="1"/>
  <c r="AU175" i="14"/>
  <c r="AV44" i="14"/>
  <c r="AV175" i="14" s="1"/>
  <c r="AV50" i="14"/>
  <c r="AV93" i="14" s="1"/>
  <c r="AW50" i="14"/>
  <c r="AW93" i="14" s="1"/>
  <c r="AU93" i="14"/>
  <c r="AU84" i="14"/>
  <c r="AV51" i="14"/>
  <c r="AV84" i="14" s="1"/>
  <c r="AW51" i="14"/>
  <c r="AW84" i="14" s="1"/>
  <c r="AU70" i="14"/>
  <c r="AW54" i="14"/>
  <c r="AW70" i="14" s="1"/>
  <c r="AV54" i="14"/>
  <c r="AV70" i="14" s="1"/>
  <c r="AU191" i="14"/>
  <c r="AW43" i="14"/>
  <c r="AW191" i="14" s="1"/>
  <c r="AV43" i="14"/>
  <c r="AV191" i="14" s="1"/>
  <c r="Z70" i="14"/>
  <c r="Z86" i="14"/>
  <c r="F109" i="12"/>
  <c r="J33" i="12" s="1"/>
  <c r="Z71" i="12"/>
  <c r="Z87" i="12"/>
  <c r="AO60" i="8"/>
  <c r="AM61" i="8"/>
  <c r="AO61" i="8"/>
  <c r="AV61" i="8"/>
  <c r="AL62" i="8"/>
  <c r="AN62" i="8"/>
  <c r="AP62" i="8"/>
  <c r="AU62" i="8"/>
  <c r="AW62" i="8"/>
  <c r="AM63" i="8"/>
  <c r="AO63" i="8"/>
  <c r="AV63" i="8"/>
  <c r="AL64" i="8"/>
  <c r="AN64" i="8"/>
  <c r="AP64" i="8"/>
  <c r="AU64" i="8"/>
  <c r="AW64" i="8"/>
  <c r="AM65" i="8"/>
  <c r="AO65" i="8"/>
  <c r="AV65" i="8"/>
  <c r="AM66" i="8"/>
  <c r="AO66" i="8"/>
  <c r="AV66" i="8"/>
  <c r="AL67" i="8"/>
  <c r="AL68" i="8"/>
  <c r="AN68" i="8"/>
  <c r="AP68" i="8"/>
  <c r="AU68" i="8"/>
  <c r="AW68" i="8"/>
  <c r="AM69" i="8"/>
  <c r="AO69" i="8"/>
  <c r="AV69" i="8"/>
  <c r="AL70" i="8"/>
  <c r="AL71" i="8"/>
  <c r="AL60" i="8"/>
  <c r="AN60" i="8"/>
  <c r="AP60" i="8"/>
  <c r="AL61" i="8"/>
  <c r="AN61" i="8"/>
  <c r="AP61" i="8"/>
  <c r="AU61" i="8"/>
  <c r="AW61" i="8"/>
  <c r="AM62" i="8"/>
  <c r="AO62" i="8"/>
  <c r="AV62" i="8"/>
  <c r="AL63" i="8"/>
  <c r="AN63" i="8"/>
  <c r="AP63" i="8"/>
  <c r="AU63" i="8"/>
  <c r="AW63" i="8"/>
  <c r="AM64" i="8"/>
  <c r="AO64" i="8"/>
  <c r="AV64" i="8"/>
  <c r="AL65" i="8"/>
  <c r="AN65" i="8"/>
  <c r="AP65" i="8"/>
  <c r="AU65" i="8"/>
  <c r="AW65" i="8"/>
  <c r="AL66" i="8"/>
  <c r="AN66" i="8"/>
  <c r="AP66" i="8"/>
  <c r="AU66" i="8"/>
  <c r="AW66" i="8"/>
  <c r="AM68" i="8"/>
  <c r="AO68" i="8"/>
  <c r="AV68" i="8"/>
  <c r="AL69" i="8"/>
  <c r="AN69" i="8"/>
  <c r="AP69" i="8"/>
  <c r="AU69" i="8"/>
  <c r="AW69" i="8"/>
  <c r="AM71" i="8"/>
  <c r="AO71" i="8"/>
  <c r="AV71" i="8"/>
  <c r="AM72" i="8"/>
  <c r="AO72" i="8"/>
  <c r="AV72" i="8"/>
  <c r="AM74" i="8"/>
  <c r="AO74" i="8"/>
  <c r="AV74" i="8"/>
  <c r="AM75" i="8"/>
  <c r="AO75" i="8"/>
  <c r="AV75" i="8"/>
  <c r="AM76" i="8"/>
  <c r="AO76" i="8"/>
  <c r="AV76" i="8"/>
  <c r="AL77" i="8"/>
  <c r="AN77" i="8"/>
  <c r="AP77" i="8"/>
  <c r="AU77" i="8"/>
  <c r="AW77" i="8"/>
  <c r="AL79" i="8"/>
  <c r="AN79" i="8"/>
  <c r="AP79" i="8"/>
  <c r="AU79" i="8"/>
  <c r="AW79" i="8"/>
  <c r="AM80" i="8"/>
  <c r="AO80" i="8"/>
  <c r="AV80" i="8"/>
  <c r="AL81" i="8"/>
  <c r="AN81" i="8"/>
  <c r="AP81" i="8"/>
  <c r="AU81" i="8"/>
  <c r="AW81" i="8"/>
  <c r="AM82" i="8"/>
  <c r="AO82" i="8"/>
  <c r="AV82" i="8"/>
  <c r="AM83" i="8"/>
  <c r="AO83" i="8"/>
  <c r="AV83" i="8"/>
  <c r="AL85" i="8"/>
  <c r="AN85" i="8"/>
  <c r="AP85" i="8"/>
  <c r="AU85" i="8"/>
  <c r="AW85" i="8"/>
  <c r="AM86" i="8"/>
  <c r="AO86" i="8"/>
  <c r="AV86" i="8"/>
  <c r="AM87" i="8"/>
  <c r="AO87" i="8"/>
  <c r="AV87" i="8"/>
  <c r="AM88" i="8"/>
  <c r="AO88" i="8"/>
  <c r="AV88" i="8"/>
  <c r="AM89" i="8"/>
  <c r="AO89" i="8"/>
  <c r="AV89" i="8"/>
  <c r="AM90" i="8"/>
  <c r="AO90" i="8"/>
  <c r="AV90" i="8"/>
  <c r="AM91" i="8"/>
  <c r="AO91" i="8"/>
  <c r="AV91" i="8"/>
  <c r="AL92" i="8"/>
  <c r="AN92" i="8"/>
  <c r="AP92" i="8"/>
  <c r="AU92" i="8"/>
  <c r="AW92" i="8"/>
  <c r="AM94" i="8"/>
  <c r="AO94" i="8"/>
  <c r="AV94" i="8"/>
  <c r="AM95" i="8"/>
  <c r="AO95" i="8"/>
  <c r="AV95" i="8"/>
  <c r="AL96" i="8"/>
  <c r="AN96" i="8"/>
  <c r="AP96" i="8"/>
  <c r="AU96" i="8"/>
  <c r="AW96" i="8"/>
  <c r="AL97" i="8"/>
  <c r="AN97" i="8"/>
  <c r="AP97" i="8"/>
  <c r="AU97" i="8"/>
  <c r="AW97" i="8"/>
  <c r="AL98" i="8"/>
  <c r="AN98" i="8"/>
  <c r="AP98" i="8"/>
  <c r="AU98" i="8"/>
  <c r="AW98" i="8"/>
  <c r="AM99" i="8"/>
  <c r="AO99" i="8"/>
  <c r="AV99" i="8"/>
  <c r="AM100" i="8"/>
  <c r="AO100" i="8"/>
  <c r="AV100" i="8"/>
  <c r="AM101" i="8"/>
  <c r="AO101" i="8"/>
  <c r="AV101" i="8"/>
  <c r="AM102" i="8"/>
  <c r="AO102" i="8"/>
  <c r="AV102" i="8"/>
  <c r="AL103" i="8"/>
  <c r="AN103" i="8"/>
  <c r="AP103" i="8"/>
  <c r="AU103" i="8"/>
  <c r="AW103" i="8"/>
  <c r="AM104" i="8"/>
  <c r="AO104" i="8"/>
  <c r="AV104" i="8"/>
  <c r="AL105" i="8"/>
  <c r="AM106" i="8"/>
  <c r="AO106" i="8"/>
  <c r="AV106" i="8"/>
  <c r="AL107" i="8"/>
  <c r="AN107" i="8"/>
  <c r="AP107" i="8"/>
  <c r="AU107" i="8"/>
  <c r="AW107" i="8"/>
  <c r="AM108" i="8"/>
  <c r="AO108" i="8"/>
  <c r="AN71" i="8"/>
  <c r="AP71" i="8"/>
  <c r="AU71" i="8"/>
  <c r="AW71" i="8"/>
  <c r="AL72" i="8"/>
  <c r="AN72" i="8"/>
  <c r="AP72" i="8"/>
  <c r="AU72" i="8"/>
  <c r="AW72" i="8"/>
  <c r="AL73" i="8"/>
  <c r="AL74" i="8"/>
  <c r="AN74" i="8"/>
  <c r="AP74" i="8"/>
  <c r="AU74" i="8"/>
  <c r="AW74" i="8"/>
  <c r="AL75" i="8"/>
  <c r="AN75" i="8"/>
  <c r="AP75" i="8"/>
  <c r="AU75" i="8"/>
  <c r="AW75" i="8"/>
  <c r="AL76" i="8"/>
  <c r="AN76" i="8"/>
  <c r="AP76" i="8"/>
  <c r="AU76" i="8"/>
  <c r="AW76" i="8"/>
  <c r="AM77" i="8"/>
  <c r="AO77" i="8"/>
  <c r="AV77" i="8"/>
  <c r="AL78" i="8"/>
  <c r="AM79" i="8"/>
  <c r="AO79" i="8"/>
  <c r="AV79" i="8"/>
  <c r="AL80" i="8"/>
  <c r="AN80" i="8"/>
  <c r="AP80" i="8"/>
  <c r="AU80" i="8"/>
  <c r="AW80" i="8"/>
  <c r="AM81" i="8"/>
  <c r="AO81" i="8"/>
  <c r="AV81" i="8"/>
  <c r="AL82" i="8"/>
  <c r="AN82" i="8"/>
  <c r="AP82" i="8"/>
  <c r="AU82" i="8"/>
  <c r="AW82" i="8"/>
  <c r="AL83" i="8"/>
  <c r="AN83" i="8"/>
  <c r="AP83" i="8"/>
  <c r="AU83" i="8"/>
  <c r="AW83" i="8"/>
  <c r="AL84" i="8"/>
  <c r="AM85" i="8"/>
  <c r="AO85" i="8"/>
  <c r="AV85" i="8"/>
  <c r="AL86" i="8"/>
  <c r="AN86" i="8"/>
  <c r="AP86" i="8"/>
  <c r="AU86" i="8"/>
  <c r="AW86" i="8"/>
  <c r="AL87" i="8"/>
  <c r="AN87" i="8"/>
  <c r="AP87" i="8"/>
  <c r="AU87" i="8"/>
  <c r="AW87" i="8"/>
  <c r="AL88" i="8"/>
  <c r="AN88" i="8"/>
  <c r="AP88" i="8"/>
  <c r="AU88" i="8"/>
  <c r="AW88" i="8"/>
  <c r="AL89" i="8"/>
  <c r="AN89" i="8"/>
  <c r="AP89" i="8"/>
  <c r="AU89" i="8"/>
  <c r="AW89" i="8"/>
  <c r="AL90" i="8"/>
  <c r="AN90" i="8"/>
  <c r="AP90" i="8"/>
  <c r="AU90" i="8"/>
  <c r="AW90" i="8"/>
  <c r="AL91" i="8"/>
  <c r="AN91" i="8"/>
  <c r="AP91" i="8"/>
  <c r="AU91" i="8"/>
  <c r="AW91" i="8"/>
  <c r="AM92" i="8"/>
  <c r="AO92" i="8"/>
  <c r="AV92" i="8"/>
  <c r="AL93" i="8"/>
  <c r="AL94" i="8"/>
  <c r="AN94" i="8"/>
  <c r="AP94" i="8"/>
  <c r="AU94" i="8"/>
  <c r="AW94" i="8"/>
  <c r="AL95" i="8"/>
  <c r="AN95" i="8"/>
  <c r="AP95" i="8"/>
  <c r="AU95" i="8"/>
  <c r="AW95" i="8"/>
  <c r="AM96" i="8"/>
  <c r="AO96" i="8"/>
  <c r="AV96" i="8"/>
  <c r="AM97" i="8"/>
  <c r="AO97" i="8"/>
  <c r="AV97" i="8"/>
  <c r="AM98" i="8"/>
  <c r="AO98" i="8"/>
  <c r="AV98" i="8"/>
  <c r="AL99" i="8"/>
  <c r="AN99" i="8"/>
  <c r="AP99" i="8"/>
  <c r="AU99" i="8"/>
  <c r="AW99" i="8"/>
  <c r="AL100" i="8"/>
  <c r="AN100" i="8"/>
  <c r="AP100" i="8"/>
  <c r="AU100" i="8"/>
  <c r="AW100" i="8"/>
  <c r="AL101" i="8"/>
  <c r="AN101" i="8"/>
  <c r="AP101" i="8"/>
  <c r="AU101" i="8"/>
  <c r="AW101" i="8"/>
  <c r="AL102" i="8"/>
  <c r="AN102" i="8"/>
  <c r="AP102" i="8"/>
  <c r="AU102" i="8"/>
  <c r="AW102" i="8"/>
  <c r="AM103" i="8"/>
  <c r="AO103" i="8"/>
  <c r="AV103" i="8"/>
  <c r="AL104" i="8"/>
  <c r="AN104" i="8"/>
  <c r="AP104" i="8"/>
  <c r="AU104" i="8"/>
  <c r="AW104" i="8"/>
  <c r="AL106" i="8"/>
  <c r="AP106" i="8"/>
  <c r="AU106" i="8"/>
  <c r="AO107" i="8"/>
  <c r="AV107" i="8"/>
  <c r="AN108" i="8"/>
  <c r="AV108" i="8"/>
  <c r="AM109" i="8"/>
  <c r="AO109" i="8"/>
  <c r="AV109" i="8"/>
  <c r="AL110" i="8"/>
  <c r="AN110" i="8"/>
  <c r="AP110" i="8"/>
  <c r="AU110" i="8"/>
  <c r="AW110" i="8"/>
  <c r="AM111" i="8"/>
  <c r="AO111" i="8"/>
  <c r="AV111" i="8"/>
  <c r="AL112" i="8"/>
  <c r="AN112" i="8"/>
  <c r="AP112" i="8"/>
  <c r="AU112" i="8"/>
  <c r="AW112" i="8"/>
  <c r="AM113" i="8"/>
  <c r="AO113" i="8"/>
  <c r="AV113" i="8"/>
  <c r="AL114" i="8"/>
  <c r="AN114" i="8"/>
  <c r="AP114" i="8"/>
  <c r="AU114" i="8"/>
  <c r="AW114" i="8"/>
  <c r="AM115" i="8"/>
  <c r="AO115" i="8"/>
  <c r="AV115" i="8"/>
  <c r="AL116" i="8"/>
  <c r="AN116" i="8"/>
  <c r="AP116" i="8"/>
  <c r="AU116" i="8"/>
  <c r="AW116" i="8"/>
  <c r="AM117" i="8"/>
  <c r="AO117" i="8"/>
  <c r="AV117" i="8"/>
  <c r="AM118" i="8"/>
  <c r="AO118" i="8"/>
  <c r="AV118" i="8"/>
  <c r="AM119" i="8"/>
  <c r="AO119" i="8"/>
  <c r="AV119" i="8"/>
  <c r="AL120" i="8"/>
  <c r="AN120" i="8"/>
  <c r="AP120" i="8"/>
  <c r="AU120" i="8"/>
  <c r="AW120" i="8"/>
  <c r="AM121" i="8"/>
  <c r="AO121" i="8"/>
  <c r="AV121" i="8"/>
  <c r="AL122" i="8"/>
  <c r="AM123" i="8"/>
  <c r="AO123" i="8"/>
  <c r="AV123" i="8"/>
  <c r="AL124" i="8"/>
  <c r="AN124" i="8"/>
  <c r="AP124" i="8"/>
  <c r="AU124" i="8"/>
  <c r="AW124" i="8"/>
  <c r="AM125" i="8"/>
  <c r="AO125" i="8"/>
  <c r="AV125" i="8"/>
  <c r="AL126" i="8"/>
  <c r="AN126" i="8"/>
  <c r="AP126" i="8"/>
  <c r="AU126" i="8"/>
  <c r="AW126" i="8"/>
  <c r="AL127" i="8"/>
  <c r="AN127" i="8"/>
  <c r="AP127" i="8"/>
  <c r="AU127" i="8"/>
  <c r="AW127" i="8"/>
  <c r="AL128" i="8"/>
  <c r="AN128" i="8"/>
  <c r="AP128" i="8"/>
  <c r="AU128" i="8"/>
  <c r="AW128" i="8"/>
  <c r="AM129" i="8"/>
  <c r="AO129" i="8"/>
  <c r="AV129" i="8"/>
  <c r="AL130" i="8"/>
  <c r="AM131" i="8"/>
  <c r="AO131" i="8"/>
  <c r="AV131" i="8"/>
  <c r="AL132" i="8"/>
  <c r="AN132" i="8"/>
  <c r="AP132" i="8"/>
  <c r="AU132" i="8"/>
  <c r="AW132" i="8"/>
  <c r="AL133" i="8"/>
  <c r="AN133" i="8"/>
  <c r="AP133" i="8"/>
  <c r="AU133" i="8"/>
  <c r="AW133" i="8"/>
  <c r="AM134" i="8"/>
  <c r="AO134" i="8"/>
  <c r="AV134" i="8"/>
  <c r="AL135" i="8"/>
  <c r="AN135" i="8"/>
  <c r="AP135" i="8"/>
  <c r="AU135" i="8"/>
  <c r="AW135" i="8"/>
  <c r="AM136" i="8"/>
  <c r="AO136" i="8"/>
  <c r="AV136" i="8"/>
  <c r="AL137" i="8"/>
  <c r="AN137" i="8"/>
  <c r="AP137" i="8"/>
  <c r="AU137" i="8"/>
  <c r="AW137" i="8"/>
  <c r="AM138" i="8"/>
  <c r="AO138" i="8"/>
  <c r="AV138" i="8"/>
  <c r="AL139" i="8"/>
  <c r="AN139" i="8"/>
  <c r="AP139" i="8"/>
  <c r="AU139" i="8"/>
  <c r="AW139" i="8"/>
  <c r="AM140" i="8"/>
  <c r="AO140" i="8"/>
  <c r="AV140" i="8"/>
  <c r="AL141" i="8"/>
  <c r="AN141" i="8"/>
  <c r="AP141" i="8"/>
  <c r="AU141" i="8"/>
  <c r="AW141" i="8"/>
  <c r="AM142" i="8"/>
  <c r="AO142" i="8"/>
  <c r="AV142" i="8"/>
  <c r="AL143" i="8"/>
  <c r="AN143" i="8"/>
  <c r="AP143" i="8"/>
  <c r="AU143" i="8"/>
  <c r="AW143" i="8"/>
  <c r="AL145" i="8"/>
  <c r="AN145" i="8"/>
  <c r="AP145" i="8"/>
  <c r="AU145" i="8"/>
  <c r="AW145" i="8"/>
  <c r="AM146" i="8"/>
  <c r="AO146" i="8"/>
  <c r="AV146" i="8"/>
  <c r="AL147" i="8"/>
  <c r="AN147" i="8"/>
  <c r="AP147" i="8"/>
  <c r="AU147" i="8"/>
  <c r="AW147" i="8"/>
  <c r="AM148" i="8"/>
  <c r="AN106" i="8"/>
  <c r="AW106" i="8"/>
  <c r="AM107" i="8"/>
  <c r="AL108" i="8"/>
  <c r="AP108" i="8"/>
  <c r="AU108" i="8"/>
  <c r="AW108" i="8"/>
  <c r="AL109" i="8"/>
  <c r="AN109" i="8"/>
  <c r="AP109" i="8"/>
  <c r="AU109" i="8"/>
  <c r="AW109" i="8"/>
  <c r="AM110" i="8"/>
  <c r="AO110" i="8"/>
  <c r="AV110" i="8"/>
  <c r="AL111" i="8"/>
  <c r="AN111" i="8"/>
  <c r="AP111" i="8"/>
  <c r="AU111" i="8"/>
  <c r="AW111" i="8"/>
  <c r="AM112" i="8"/>
  <c r="AO112" i="8"/>
  <c r="AV112" i="8"/>
  <c r="AL113" i="8"/>
  <c r="AN113" i="8"/>
  <c r="AP113" i="8"/>
  <c r="AU113" i="8"/>
  <c r="AW113" i="8"/>
  <c r="AM114" i="8"/>
  <c r="AO114" i="8"/>
  <c r="AV114" i="8"/>
  <c r="AL115" i="8"/>
  <c r="AN115" i="8"/>
  <c r="AP115" i="8"/>
  <c r="AU115" i="8"/>
  <c r="AW115" i="8"/>
  <c r="AM116" i="8"/>
  <c r="AO116" i="8"/>
  <c r="AV116" i="8"/>
  <c r="AL117" i="8"/>
  <c r="AN117" i="8"/>
  <c r="AP117" i="8"/>
  <c r="AU117" i="8"/>
  <c r="AW117" i="8"/>
  <c r="AL118" i="8"/>
  <c r="AN118" i="8"/>
  <c r="AP118" i="8"/>
  <c r="AU118" i="8"/>
  <c r="AW118" i="8"/>
  <c r="AL119" i="8"/>
  <c r="AN119" i="8"/>
  <c r="AP119" i="8"/>
  <c r="AU119" i="8"/>
  <c r="AW119" i="8"/>
  <c r="AM120" i="8"/>
  <c r="AO120" i="8"/>
  <c r="AV120" i="8"/>
  <c r="AL121" i="8"/>
  <c r="AN121" i="8"/>
  <c r="AP121" i="8"/>
  <c r="AU121" i="8"/>
  <c r="AW121" i="8"/>
  <c r="AL123" i="8"/>
  <c r="AN123" i="8"/>
  <c r="AP123" i="8"/>
  <c r="AU123" i="8"/>
  <c r="AW123" i="8"/>
  <c r="AM124" i="8"/>
  <c r="AO124" i="8"/>
  <c r="AV124" i="8"/>
  <c r="AL125" i="8"/>
  <c r="AN125" i="8"/>
  <c r="AP125" i="8"/>
  <c r="AU125" i="8"/>
  <c r="AW125" i="8"/>
  <c r="AM126" i="8"/>
  <c r="AO126" i="8"/>
  <c r="AV126" i="8"/>
  <c r="AM127" i="8"/>
  <c r="AO127" i="8"/>
  <c r="AV127" i="8"/>
  <c r="AM128" i="8"/>
  <c r="AO128" i="8"/>
  <c r="AV128" i="8"/>
  <c r="AL129" i="8"/>
  <c r="AN129" i="8"/>
  <c r="AP129" i="8"/>
  <c r="AU129" i="8"/>
  <c r="AW129" i="8"/>
  <c r="AL131" i="8"/>
  <c r="AN131" i="8"/>
  <c r="AP131" i="8"/>
  <c r="AU131" i="8"/>
  <c r="AW131" i="8"/>
  <c r="AM132" i="8"/>
  <c r="AO132" i="8"/>
  <c r="AV132" i="8"/>
  <c r="AM133" i="8"/>
  <c r="AO133" i="8"/>
  <c r="AV133" i="8"/>
  <c r="AL134" i="8"/>
  <c r="AN134" i="8"/>
  <c r="AP134" i="8"/>
  <c r="AU134" i="8"/>
  <c r="AW134" i="8"/>
  <c r="AM135" i="8"/>
  <c r="AO135" i="8"/>
  <c r="AV135" i="8"/>
  <c r="AL136" i="8"/>
  <c r="AN136" i="8"/>
  <c r="AP136" i="8"/>
  <c r="AU136" i="8"/>
  <c r="AW136" i="8"/>
  <c r="AM137" i="8"/>
  <c r="AO137" i="8"/>
  <c r="AV137" i="8"/>
  <c r="AL138" i="8"/>
  <c r="AN138" i="8"/>
  <c r="AP138" i="8"/>
  <c r="AU138" i="8"/>
  <c r="AW138" i="8"/>
  <c r="AM139" i="8"/>
  <c r="AO139" i="8"/>
  <c r="AV139" i="8"/>
  <c r="AL140" i="8"/>
  <c r="AN140" i="8"/>
  <c r="AP140" i="8"/>
  <c r="AU140" i="8"/>
  <c r="AW140" i="8"/>
  <c r="AM141" i="8"/>
  <c r="AO141" i="8"/>
  <c r="AV141" i="8"/>
  <c r="AL142" i="8"/>
  <c r="AN142" i="8"/>
  <c r="AP142" i="8"/>
  <c r="AU142" i="8"/>
  <c r="AW142" i="8"/>
  <c r="AM143" i="8"/>
  <c r="AO143" i="8"/>
  <c r="AV143" i="8"/>
  <c r="AL144" i="8"/>
  <c r="AM145" i="8"/>
  <c r="AO145" i="8"/>
  <c r="AV145" i="8"/>
  <c r="AL146" i="8"/>
  <c r="AN146" i="8"/>
  <c r="AP146" i="8"/>
  <c r="AU146" i="8"/>
  <c r="AW146" i="8"/>
  <c r="AM147" i="8"/>
  <c r="AO147" i="8"/>
  <c r="AV147" i="8"/>
  <c r="AL148" i="8"/>
  <c r="AN148" i="8"/>
  <c r="AO148" i="8"/>
  <c r="AV148" i="8"/>
  <c r="AL149" i="8"/>
  <c r="AN149" i="8"/>
  <c r="AP149" i="8"/>
  <c r="AU149" i="8"/>
  <c r="AW149" i="8"/>
  <c r="AM150" i="8"/>
  <c r="AO150" i="8"/>
  <c r="AV150" i="8"/>
  <c r="AL151" i="8"/>
  <c r="AN151" i="8"/>
  <c r="AP151" i="8"/>
  <c r="AU151" i="8"/>
  <c r="AW151" i="8"/>
  <c r="AM152" i="8"/>
  <c r="AO152" i="8"/>
  <c r="AV152" i="8"/>
  <c r="AL153" i="8"/>
  <c r="AN153" i="8"/>
  <c r="AP153" i="8"/>
  <c r="AU153" i="8"/>
  <c r="AW153" i="8"/>
  <c r="AM154" i="8"/>
  <c r="AO154" i="8"/>
  <c r="AV154" i="8"/>
  <c r="AL155" i="8"/>
  <c r="AN155" i="8"/>
  <c r="AP155" i="8"/>
  <c r="AU155" i="8"/>
  <c r="AW155" i="8"/>
  <c r="AL157" i="8"/>
  <c r="AN157" i="8"/>
  <c r="AP157" i="8"/>
  <c r="AU157" i="8"/>
  <c r="AW157" i="8"/>
  <c r="AM158" i="8"/>
  <c r="AO158" i="8"/>
  <c r="AV158" i="8"/>
  <c r="AL159" i="8"/>
  <c r="AN159" i="8"/>
  <c r="AP159" i="8"/>
  <c r="AU159" i="8"/>
  <c r="AW159" i="8"/>
  <c r="AM160" i="8"/>
  <c r="AO160" i="8"/>
  <c r="AV160" i="8"/>
  <c r="AL161" i="8"/>
  <c r="AN161" i="8"/>
  <c r="AP161" i="8"/>
  <c r="AU161" i="8"/>
  <c r="AW161" i="8"/>
  <c r="AM162" i="8"/>
  <c r="AO162" i="8"/>
  <c r="AV162" i="8"/>
  <c r="AL163" i="8"/>
  <c r="AN163" i="8"/>
  <c r="AP163" i="8"/>
  <c r="AU163" i="8"/>
  <c r="AW163" i="8"/>
  <c r="AM164" i="8"/>
  <c r="AO164" i="8"/>
  <c r="AV164" i="8"/>
  <c r="AL165" i="8"/>
  <c r="AN165" i="8"/>
  <c r="AP165" i="8"/>
  <c r="AU165" i="8"/>
  <c r="AW165" i="8"/>
  <c r="AM166" i="8"/>
  <c r="AO166" i="8"/>
  <c r="AV166" i="8"/>
  <c r="AL167" i="8"/>
  <c r="AN167" i="8"/>
  <c r="AP167" i="8"/>
  <c r="AU167" i="8"/>
  <c r="AW167" i="8"/>
  <c r="AM168" i="8"/>
  <c r="AO168" i="8"/>
  <c r="AV168" i="8"/>
  <c r="AL169" i="8"/>
  <c r="AN169" i="8"/>
  <c r="AP169" i="8"/>
  <c r="AU169" i="8"/>
  <c r="AW169" i="8"/>
  <c r="AM170" i="8"/>
  <c r="AO170" i="8"/>
  <c r="AV170" i="8"/>
  <c r="AL171" i="8"/>
  <c r="AN171" i="8"/>
  <c r="AP171" i="8"/>
  <c r="AU171" i="8"/>
  <c r="AW171" i="8"/>
  <c r="AM172" i="8"/>
  <c r="AO172" i="8"/>
  <c r="AV172" i="8"/>
  <c r="AL173" i="8"/>
  <c r="AN173" i="8"/>
  <c r="AP173" i="8"/>
  <c r="AU173" i="8"/>
  <c r="AW173" i="8"/>
  <c r="AM174" i="8"/>
  <c r="AO174" i="8"/>
  <c r="AV174" i="8"/>
  <c r="AL175" i="8"/>
  <c r="AM176" i="8"/>
  <c r="AO176" i="8"/>
  <c r="AV176" i="8"/>
  <c r="AL177" i="8"/>
  <c r="AN177" i="8"/>
  <c r="AP177" i="8"/>
  <c r="AU177" i="8"/>
  <c r="AW177" i="8"/>
  <c r="AM178" i="8"/>
  <c r="AO178" i="8"/>
  <c r="AV178" i="8"/>
  <c r="AL179" i="8"/>
  <c r="AN179" i="8"/>
  <c r="AP179" i="8"/>
  <c r="AU179" i="8"/>
  <c r="AW179" i="8"/>
  <c r="AM180" i="8"/>
  <c r="AO180" i="8"/>
  <c r="AV180" i="8"/>
  <c r="AL181" i="8"/>
  <c r="AN181" i="8"/>
  <c r="AP181" i="8"/>
  <c r="AU181" i="8"/>
  <c r="AW181" i="8"/>
  <c r="AM182" i="8"/>
  <c r="AO182" i="8"/>
  <c r="AV182" i="8"/>
  <c r="AL183" i="8"/>
  <c r="AN183" i="8"/>
  <c r="AP183" i="8"/>
  <c r="AU183" i="8"/>
  <c r="AW183" i="8"/>
  <c r="AM184" i="8"/>
  <c r="AO184" i="8"/>
  <c r="AV184" i="8"/>
  <c r="AL185" i="8"/>
  <c r="AN185" i="8"/>
  <c r="AP185" i="8"/>
  <c r="AU185" i="8"/>
  <c r="AW185" i="8"/>
  <c r="AM186" i="8"/>
  <c r="AO186" i="8"/>
  <c r="AV186" i="8"/>
  <c r="AL187" i="8"/>
  <c r="AN187" i="8"/>
  <c r="AP187" i="8"/>
  <c r="AU187" i="8"/>
  <c r="AW187" i="8"/>
  <c r="AM188" i="8"/>
  <c r="AO188" i="8"/>
  <c r="AV188" i="8"/>
  <c r="AL189" i="8"/>
  <c r="AN189" i="8"/>
  <c r="AP189" i="8"/>
  <c r="AU189" i="8"/>
  <c r="AW189" i="8"/>
  <c r="AM190" i="8"/>
  <c r="AO190" i="8"/>
  <c r="AV190" i="8"/>
  <c r="AL191" i="8"/>
  <c r="AM192" i="8"/>
  <c r="AO192" i="8"/>
  <c r="AV192" i="8"/>
  <c r="AL193" i="8"/>
  <c r="AN193" i="8"/>
  <c r="AP193" i="8"/>
  <c r="AU193" i="8"/>
  <c r="AW193" i="8"/>
  <c r="AM194" i="8"/>
  <c r="AO194" i="8"/>
  <c r="AV194" i="8"/>
  <c r="AL195" i="8"/>
  <c r="AN195" i="8"/>
  <c r="AP195" i="8"/>
  <c r="AU195" i="8"/>
  <c r="AW195" i="8"/>
  <c r="AM196" i="8"/>
  <c r="AO196" i="8"/>
  <c r="AV196" i="8"/>
  <c r="AL197" i="8"/>
  <c r="AN197" i="8"/>
  <c r="AP197" i="8"/>
  <c r="AU197" i="8"/>
  <c r="AW197" i="8"/>
  <c r="AM198" i="8"/>
  <c r="AO198" i="8"/>
  <c r="AV198" i="8"/>
  <c r="AP148" i="8"/>
  <c r="AU148" i="8"/>
  <c r="AW148" i="8"/>
  <c r="AM149" i="8"/>
  <c r="AO149" i="8"/>
  <c r="AV149" i="8"/>
  <c r="AL150" i="8"/>
  <c r="AN150" i="8"/>
  <c r="AP150" i="8"/>
  <c r="AU150" i="8"/>
  <c r="AW150" i="8"/>
  <c r="AM151" i="8"/>
  <c r="AO151" i="8"/>
  <c r="AV151" i="8"/>
  <c r="AL152" i="8"/>
  <c r="AN152" i="8"/>
  <c r="AP152" i="8"/>
  <c r="AU152" i="8"/>
  <c r="AW152" i="8"/>
  <c r="AM153" i="8"/>
  <c r="AO153" i="8"/>
  <c r="AV153" i="8"/>
  <c r="AL154" i="8"/>
  <c r="AN154" i="8"/>
  <c r="AP154" i="8"/>
  <c r="AU154" i="8"/>
  <c r="AW154" i="8"/>
  <c r="AM155" i="8"/>
  <c r="AO155" i="8"/>
  <c r="AV155" i="8"/>
  <c r="AL156" i="8"/>
  <c r="AM157" i="8"/>
  <c r="AO157" i="8"/>
  <c r="AV157" i="8"/>
  <c r="AL158" i="8"/>
  <c r="AN158" i="8"/>
  <c r="AP158" i="8"/>
  <c r="AU158" i="8"/>
  <c r="AW158" i="8"/>
  <c r="AM159" i="8"/>
  <c r="AO159" i="8"/>
  <c r="AV159" i="8"/>
  <c r="AL160" i="8"/>
  <c r="AN160" i="8"/>
  <c r="AP160" i="8"/>
  <c r="AU160" i="8"/>
  <c r="AW160" i="8"/>
  <c r="AM161" i="8"/>
  <c r="AO161" i="8"/>
  <c r="AV161" i="8"/>
  <c r="AL162" i="8"/>
  <c r="AN162" i="8"/>
  <c r="AP162" i="8"/>
  <c r="AU162" i="8"/>
  <c r="AW162" i="8"/>
  <c r="AM163" i="8"/>
  <c r="AO163" i="8"/>
  <c r="AV163" i="8"/>
  <c r="AL164" i="8"/>
  <c r="AN164" i="8"/>
  <c r="AP164" i="8"/>
  <c r="AU164" i="8"/>
  <c r="AW164" i="8"/>
  <c r="AM165" i="8"/>
  <c r="AO165" i="8"/>
  <c r="AV165" i="8"/>
  <c r="AL166" i="8"/>
  <c r="AN166" i="8"/>
  <c r="AP166" i="8"/>
  <c r="AU166" i="8"/>
  <c r="AW166" i="8"/>
  <c r="AM167" i="8"/>
  <c r="AO167" i="8"/>
  <c r="AV167" i="8"/>
  <c r="AL168" i="8"/>
  <c r="AN168" i="8"/>
  <c r="AP168" i="8"/>
  <c r="AU168" i="8"/>
  <c r="AW168" i="8"/>
  <c r="AM169" i="8"/>
  <c r="AO169" i="8"/>
  <c r="AV169" i="8"/>
  <c r="AL170" i="8"/>
  <c r="AN170" i="8"/>
  <c r="AP170" i="8"/>
  <c r="AU170" i="8"/>
  <c r="AW170" i="8"/>
  <c r="AM171" i="8"/>
  <c r="AO171" i="8"/>
  <c r="AV171" i="8"/>
  <c r="AL172" i="8"/>
  <c r="AN172" i="8"/>
  <c r="AP172" i="8"/>
  <c r="AU172" i="8"/>
  <c r="AW172" i="8"/>
  <c r="AM173" i="8"/>
  <c r="AO173" i="8"/>
  <c r="AV173" i="8"/>
  <c r="AL174" i="8"/>
  <c r="AN174" i="8"/>
  <c r="AP174" i="8"/>
  <c r="AU174" i="8"/>
  <c r="AW174" i="8"/>
  <c r="AL176" i="8"/>
  <c r="AN176" i="8"/>
  <c r="AP176" i="8"/>
  <c r="AU176" i="8"/>
  <c r="AW176" i="8"/>
  <c r="AM177" i="8"/>
  <c r="AO177" i="8"/>
  <c r="AV177" i="8"/>
  <c r="AL178" i="8"/>
  <c r="AN178" i="8"/>
  <c r="AP178" i="8"/>
  <c r="AU178" i="8"/>
  <c r="AW178" i="8"/>
  <c r="AM179" i="8"/>
  <c r="AO179" i="8"/>
  <c r="AV179" i="8"/>
  <c r="AL180" i="8"/>
  <c r="AN180" i="8"/>
  <c r="AP180" i="8"/>
  <c r="AU180" i="8"/>
  <c r="AW180" i="8"/>
  <c r="AM181" i="8"/>
  <c r="AO181" i="8"/>
  <c r="AV181" i="8"/>
  <c r="AL182" i="8"/>
  <c r="AN182" i="8"/>
  <c r="AP182" i="8"/>
  <c r="AU182" i="8"/>
  <c r="AW182" i="8"/>
  <c r="AM183" i="8"/>
  <c r="AO183" i="8"/>
  <c r="AV183" i="8"/>
  <c r="AL184" i="8"/>
  <c r="AN184" i="8"/>
  <c r="AP184" i="8"/>
  <c r="AU184" i="8"/>
  <c r="AW184" i="8"/>
  <c r="AM185" i="8"/>
  <c r="AO185" i="8"/>
  <c r="AV185" i="8"/>
  <c r="AL186" i="8"/>
  <c r="AN186" i="8"/>
  <c r="AP186" i="8"/>
  <c r="AU186" i="8"/>
  <c r="AW186" i="8"/>
  <c r="AM187" i="8"/>
  <c r="AO187" i="8"/>
  <c r="AV187" i="8"/>
  <c r="AL188" i="8"/>
  <c r="AN188" i="8"/>
  <c r="AP188" i="8"/>
  <c r="AU188" i="8"/>
  <c r="AW188" i="8"/>
  <c r="AM189" i="8"/>
  <c r="AO189" i="8"/>
  <c r="AV189" i="8"/>
  <c r="AL190" i="8"/>
  <c r="AN190" i="8"/>
  <c r="AP190" i="8"/>
  <c r="AU190" i="8"/>
  <c r="AW190" i="8"/>
  <c r="AL192" i="8"/>
  <c r="AN192" i="8"/>
  <c r="AP192" i="8"/>
  <c r="AU192" i="8"/>
  <c r="AW192" i="8"/>
  <c r="AM193" i="8"/>
  <c r="AO193" i="8"/>
  <c r="AV193" i="8"/>
  <c r="AL194" i="8"/>
  <c r="AN194" i="8"/>
  <c r="AP194" i="8"/>
  <c r="AU194" i="8"/>
  <c r="AW194" i="8"/>
  <c r="AM195" i="8"/>
  <c r="AO195" i="8"/>
  <c r="AV195" i="8"/>
  <c r="AL196" i="8"/>
  <c r="AN196" i="8"/>
  <c r="AP196" i="8"/>
  <c r="AU196" i="8"/>
  <c r="AW196" i="8"/>
  <c r="AM197" i="8"/>
  <c r="AO197" i="8"/>
  <c r="AV197" i="8"/>
  <c r="AL198" i="8"/>
  <c r="AN198" i="8"/>
  <c r="AP198" i="8"/>
  <c r="AU198" i="8"/>
  <c r="AW198" i="8"/>
  <c r="U86" i="8"/>
  <c r="U89" i="8"/>
  <c r="U87" i="8"/>
  <c r="AU93" i="12" l="1"/>
  <c r="AV50" i="12"/>
  <c r="AV93" i="12" s="1"/>
  <c r="AU105" i="12"/>
  <c r="AU84" i="12"/>
  <c r="AW51" i="12"/>
  <c r="AW84" i="12" s="1"/>
  <c r="AW43" i="12"/>
  <c r="AW191" i="12" s="1"/>
  <c r="AU130" i="12"/>
  <c r="AV55" i="12"/>
  <c r="AV67" i="12" s="1"/>
  <c r="AU78" i="12"/>
  <c r="AV54" i="12"/>
  <c r="AV70" i="12" s="1"/>
  <c r="AU73" i="12"/>
  <c r="AV52" i="12"/>
  <c r="AV78" i="12" s="1"/>
  <c r="Z87" i="16"/>
  <c r="Z71" i="16"/>
  <c r="Z71" i="14"/>
  <c r="Z87" i="14"/>
  <c r="Z73" i="12"/>
  <c r="Z72" i="12"/>
  <c r="G30" i="8"/>
  <c r="E35" i="2"/>
  <c r="E34" i="2"/>
  <c r="E33" i="2"/>
  <c r="E32" i="2"/>
  <c r="H2" i="2"/>
  <c r="D36" i="2"/>
  <c r="Z72" i="16" l="1"/>
  <c r="Z73" i="16"/>
  <c r="Z72" i="14"/>
  <c r="Z73" i="14"/>
  <c r="F30" i="8"/>
  <c r="H31" i="7"/>
  <c r="G45" i="7" l="1"/>
  <c r="L30" i="8"/>
  <c r="G52" i="7"/>
  <c r="K51" i="8" s="1"/>
  <c r="L29" i="8"/>
  <c r="AM56" i="8"/>
  <c r="K44" i="8" l="1"/>
  <c r="I45" i="7"/>
  <c r="L18" i="8"/>
  <c r="L27" i="8"/>
  <c r="L22" i="8"/>
  <c r="AM54" i="8"/>
  <c r="AM70" i="8" s="1"/>
  <c r="G50" i="7"/>
  <c r="M27" i="8"/>
  <c r="L26" i="8"/>
  <c r="AM53" i="8"/>
  <c r="AF46" i="8" s="1"/>
  <c r="M19" i="8"/>
  <c r="G42" i="7"/>
  <c r="L19" i="8"/>
  <c r="AM52" i="8"/>
  <c r="AM78" i="8" s="1"/>
  <c r="M25" i="8"/>
  <c r="M26" i="8"/>
  <c r="G49" i="7"/>
  <c r="M22" i="8"/>
  <c r="L25" i="8"/>
  <c r="L21" i="8"/>
  <c r="M17" i="8"/>
  <c r="L23" i="8"/>
  <c r="G43" i="7"/>
  <c r="G47" i="7"/>
  <c r="G41" i="7"/>
  <c r="L28" i="8"/>
  <c r="AM55" i="8"/>
  <c r="AF44" i="8" s="1"/>
  <c r="G51" i="7"/>
  <c r="AM47" i="8"/>
  <c r="AF52" i="8" s="1"/>
  <c r="AM45" i="8"/>
  <c r="AF54" i="8" s="1"/>
  <c r="L24" i="8"/>
  <c r="M24" i="8"/>
  <c r="L20" i="8"/>
  <c r="I69" i="8"/>
  <c r="J61" i="8" s="1"/>
  <c r="I85" i="8" s="1"/>
  <c r="I94" i="8" s="1"/>
  <c r="AM50" i="8"/>
  <c r="AM93" i="8" s="1"/>
  <c r="AM43" i="8"/>
  <c r="AF56" i="8" s="1"/>
  <c r="AM44" i="8"/>
  <c r="AF55" i="8" s="1"/>
  <c r="AM51" i="8"/>
  <c r="AM84" i="8" s="1"/>
  <c r="G48" i="7"/>
  <c r="AM48" i="8"/>
  <c r="AF51" i="8" s="1"/>
  <c r="AM49" i="8"/>
  <c r="AF50" i="8" s="1"/>
  <c r="G44" i="7"/>
  <c r="I67" i="8"/>
  <c r="G40" i="7"/>
  <c r="M23" i="8"/>
  <c r="AM46" i="8"/>
  <c r="AF53" i="8" s="1"/>
  <c r="L17" i="8"/>
  <c r="G46" i="7"/>
  <c r="M20" i="8"/>
  <c r="M29" i="8"/>
  <c r="AF43" i="8"/>
  <c r="AM60" i="8"/>
  <c r="L16" i="8"/>
  <c r="G39" i="7"/>
  <c r="K42" i="8" l="1"/>
  <c r="I43" i="7"/>
  <c r="K49" i="8"/>
  <c r="I50" i="7"/>
  <c r="K40" i="8"/>
  <c r="I41" i="7"/>
  <c r="K45" i="8"/>
  <c r="I46" i="7"/>
  <c r="K46" i="8"/>
  <c r="I47" i="7"/>
  <c r="K39" i="8"/>
  <c r="I40" i="7"/>
  <c r="K50" i="8"/>
  <c r="I51" i="7"/>
  <c r="K41" i="8"/>
  <c r="I42" i="7"/>
  <c r="K38" i="8"/>
  <c r="I39" i="7"/>
  <c r="K43" i="8"/>
  <c r="I44" i="7"/>
  <c r="K47" i="8"/>
  <c r="I48" i="7"/>
  <c r="K48" i="8"/>
  <c r="I49" i="7"/>
  <c r="N19" i="8"/>
  <c r="AM67" i="8"/>
  <c r="F33" i="7"/>
  <c r="J32" i="8" s="1"/>
  <c r="I118" i="8"/>
  <c r="I127" i="8" s="1"/>
  <c r="U71" i="8"/>
  <c r="AF45" i="8"/>
  <c r="AM73" i="8"/>
  <c r="AF49" i="8"/>
  <c r="AM122" i="8"/>
  <c r="AM144" i="8"/>
  <c r="AF47" i="8"/>
  <c r="N27" i="8"/>
  <c r="AM156" i="8"/>
  <c r="AE44" i="8"/>
  <c r="M18" i="8"/>
  <c r="AM130" i="8"/>
  <c r="AF48" i="8"/>
  <c r="AM105" i="8"/>
  <c r="AM191" i="8"/>
  <c r="I68" i="8"/>
  <c r="J58" i="8" s="1"/>
  <c r="N22" i="8"/>
  <c r="X87" i="8"/>
  <c r="M21" i="8"/>
  <c r="X86" i="8"/>
  <c r="X77" i="8"/>
  <c r="D19" i="8"/>
  <c r="M28" i="8"/>
  <c r="AM175" i="8"/>
  <c r="N21" i="8"/>
  <c r="X82" i="8"/>
  <c r="M16" i="8"/>
  <c r="J17" i="7"/>
  <c r="N29" i="8"/>
  <c r="G33" i="7" l="1"/>
  <c r="K32" i="8" s="1"/>
  <c r="AE45" i="8"/>
  <c r="AE46" i="8" s="1"/>
  <c r="D18" i="8"/>
  <c r="AE47" i="8"/>
  <c r="AE48" i="8" s="1"/>
  <c r="AE49" i="8" s="1"/>
  <c r="AE50" i="8" s="1"/>
  <c r="AE51" i="8" s="1"/>
  <c r="AE52" i="8" s="1"/>
  <c r="AE53" i="8" s="1"/>
  <c r="AE54" i="8" s="1"/>
  <c r="AE55" i="8" s="1"/>
  <c r="AE56" i="8" s="1"/>
  <c r="X90" i="8"/>
  <c r="X76" i="8" s="1"/>
  <c r="D26" i="8"/>
  <c r="X89" i="8"/>
  <c r="X75" i="8" s="1"/>
  <c r="N26" i="8"/>
  <c r="D28" i="8"/>
  <c r="X85" i="8"/>
  <c r="X71" i="8" s="1"/>
  <c r="X81" i="8"/>
  <c r="D23" i="8"/>
  <c r="D24" i="8"/>
  <c r="D17" i="8"/>
  <c r="N18" i="8"/>
  <c r="D27" i="8"/>
  <c r="N28" i="8"/>
  <c r="N25" i="8"/>
  <c r="D21" i="8"/>
  <c r="N23" i="8"/>
  <c r="N24" i="8"/>
  <c r="D22" i="8"/>
  <c r="D25" i="8"/>
  <c r="X91" i="8"/>
  <c r="X83" i="8"/>
  <c r="X68" i="8" s="1"/>
  <c r="X88" i="8"/>
  <c r="X74" i="8" s="1"/>
  <c r="N20" i="8"/>
  <c r="D20" i="8"/>
  <c r="X84" i="8"/>
  <c r="X73" i="8"/>
  <c r="X72" i="8"/>
  <c r="D16" i="8"/>
  <c r="N17" i="8"/>
  <c r="X80" i="8"/>
  <c r="Z79" i="8"/>
  <c r="Z80" i="8" s="1"/>
  <c r="X79" i="8"/>
  <c r="N16" i="8"/>
  <c r="F32" i="7"/>
  <c r="G85" i="8"/>
  <c r="T71" i="8"/>
  <c r="G118" i="8"/>
  <c r="I65" i="8"/>
  <c r="X66" i="8" l="1"/>
  <c r="AG38" i="8"/>
  <c r="AN46" i="8" s="1"/>
  <c r="AG39" i="8"/>
  <c r="X65" i="8"/>
  <c r="X70" i="8"/>
  <c r="X67" i="8"/>
  <c r="X69" i="8"/>
  <c r="H118" i="8"/>
  <c r="J119" i="8" s="1"/>
  <c r="G127" i="8"/>
  <c r="G94" i="8"/>
  <c r="H85" i="8"/>
  <c r="J86" i="8" s="1"/>
  <c r="Z81" i="8"/>
  <c r="Z65" i="8"/>
  <c r="J31" i="8"/>
  <c r="G32" i="7"/>
  <c r="K31" i="8" s="1"/>
  <c r="AP38" i="8" l="1"/>
  <c r="H52" i="7"/>
  <c r="I52" i="7" s="1"/>
  <c r="M39" i="8"/>
  <c r="L50" i="8"/>
  <c r="M46" i="8"/>
  <c r="M43" i="8"/>
  <c r="L42" i="8"/>
  <c r="L38" i="8"/>
  <c r="L49" i="8"/>
  <c r="L45" i="8"/>
  <c r="L47" i="8"/>
  <c r="L48" i="8"/>
  <c r="M41" i="8"/>
  <c r="L40" i="8"/>
  <c r="L44" i="8"/>
  <c r="AR42" i="8"/>
  <c r="AR52" i="8" s="1"/>
  <c r="AN49" i="8"/>
  <c r="AP49" i="8" s="1"/>
  <c r="AP105" i="8" s="1"/>
  <c r="AN43" i="8"/>
  <c r="AN191" i="8" s="1"/>
  <c r="AN45" i="8"/>
  <c r="AN156" i="8" s="1"/>
  <c r="AN52" i="8"/>
  <c r="AO52" i="8" s="1"/>
  <c r="AO78" i="8" s="1"/>
  <c r="I37" i="7"/>
  <c r="M36" i="8" s="1"/>
  <c r="AN55" i="8"/>
  <c r="AP55" i="8" s="1"/>
  <c r="AP67" i="8" s="1"/>
  <c r="AN50" i="8"/>
  <c r="AP50" i="8" s="1"/>
  <c r="AP93" i="8" s="1"/>
  <c r="AN54" i="8"/>
  <c r="AN70" i="8" s="1"/>
  <c r="AN51" i="8"/>
  <c r="AP51" i="8" s="1"/>
  <c r="AP84" i="8" s="1"/>
  <c r="AN53" i="8"/>
  <c r="AN73" i="8" s="1"/>
  <c r="AN48" i="8"/>
  <c r="AP48" i="8" s="1"/>
  <c r="AP122" i="8" s="1"/>
  <c r="AF40" i="8"/>
  <c r="AN47" i="8"/>
  <c r="AP47" i="8" s="1"/>
  <c r="AP130" i="8" s="1"/>
  <c r="AN44" i="8"/>
  <c r="AO44" i="8" s="1"/>
  <c r="AO175" i="8" s="1"/>
  <c r="AP43" i="8"/>
  <c r="AP191" i="8" s="1"/>
  <c r="AO43" i="8"/>
  <c r="AO191" i="8" s="1"/>
  <c r="Z82" i="8"/>
  <c r="Z66" i="8"/>
  <c r="H94" i="8"/>
  <c r="J95" i="8" s="1"/>
  <c r="F107" i="8" s="1"/>
  <c r="H98" i="8"/>
  <c r="AP46" i="8"/>
  <c r="AP144" i="8" s="1"/>
  <c r="AN144" i="8"/>
  <c r="AO46" i="8"/>
  <c r="AO144" i="8" s="1"/>
  <c r="F108" i="8"/>
  <c r="H127" i="8"/>
  <c r="J128" i="8" s="1"/>
  <c r="I131" i="8"/>
  <c r="I132" i="8"/>
  <c r="L51" i="8" l="1"/>
  <c r="M42" i="8"/>
  <c r="L39" i="8"/>
  <c r="L46" i="8"/>
  <c r="M50" i="8"/>
  <c r="M51" i="8"/>
  <c r="AO50" i="8"/>
  <c r="AO93" i="8" s="1"/>
  <c r="AT45" i="8"/>
  <c r="AR50" i="8"/>
  <c r="L43" i="8"/>
  <c r="AO49" i="8"/>
  <c r="AO105" i="8" s="1"/>
  <c r="M38" i="8"/>
  <c r="AN105" i="8"/>
  <c r="M47" i="8"/>
  <c r="AR49" i="8"/>
  <c r="M49" i="8"/>
  <c r="AR47" i="8"/>
  <c r="M45" i="8"/>
  <c r="M40" i="8"/>
  <c r="AP52" i="8"/>
  <c r="AP78" i="8" s="1"/>
  <c r="AN78" i="8"/>
  <c r="AP44" i="8"/>
  <c r="AP175" i="8" s="1"/>
  <c r="AN67" i="8"/>
  <c r="AN175" i="8"/>
  <c r="L41" i="8"/>
  <c r="AO55" i="8"/>
  <c r="AO67" i="8" s="1"/>
  <c r="AN130" i="8"/>
  <c r="AN84" i="8"/>
  <c r="M48" i="8"/>
  <c r="AO47" i="8"/>
  <c r="AO130" i="8" s="1"/>
  <c r="AO51" i="8"/>
  <c r="AO84" i="8" s="1"/>
  <c r="AT47" i="8"/>
  <c r="AO53" i="8"/>
  <c r="AO73" i="8" s="1"/>
  <c r="AR43" i="8"/>
  <c r="AO54" i="8"/>
  <c r="AO70" i="8" s="1"/>
  <c r="AR46" i="8"/>
  <c r="AP54" i="8"/>
  <c r="AP70" i="8" s="1"/>
  <c r="AR48" i="8"/>
  <c r="AT52" i="8"/>
  <c r="AO45" i="8"/>
  <c r="AO156" i="8" s="1"/>
  <c r="AR55" i="8"/>
  <c r="AT51" i="8"/>
  <c r="AP45" i="8"/>
  <c r="AP156" i="8" s="1"/>
  <c r="AR54" i="8"/>
  <c r="AT46" i="8"/>
  <c r="AT53" i="8"/>
  <c r="AT54" i="8"/>
  <c r="AR44" i="8"/>
  <c r="AT50" i="8"/>
  <c r="AO48" i="8"/>
  <c r="AO122" i="8" s="1"/>
  <c r="M44" i="8"/>
  <c r="AN122" i="8"/>
  <c r="AT48" i="8"/>
  <c r="AT43" i="8"/>
  <c r="AR51" i="8"/>
  <c r="AR56" i="8"/>
  <c r="AT44" i="8"/>
  <c r="AR53" i="8"/>
  <c r="AT55" i="8"/>
  <c r="AP53" i="8"/>
  <c r="AP73" i="8" s="1"/>
  <c r="AN93" i="8"/>
  <c r="AT49" i="8"/>
  <c r="AR45" i="8"/>
  <c r="AT56" i="8"/>
  <c r="H97" i="8"/>
  <c r="I100" i="8" s="1"/>
  <c r="F104" i="8" s="1"/>
  <c r="F133" i="8"/>
  <c r="G34" i="7" s="1"/>
  <c r="K33" i="8" s="1"/>
  <c r="Z67" i="8"/>
  <c r="Z83" i="8"/>
  <c r="AW39" i="8" l="1"/>
  <c r="AW38" i="8"/>
  <c r="Z84" i="8"/>
  <c r="Z68" i="8"/>
  <c r="I101" i="8"/>
  <c r="AU50" i="8" l="1"/>
  <c r="AU93" i="8" s="1"/>
  <c r="AU45" i="8"/>
  <c r="AV45" i="8" s="1"/>
  <c r="AV156" i="8" s="1"/>
  <c r="AU46" i="8"/>
  <c r="AV46" i="8" s="1"/>
  <c r="AV144" i="8" s="1"/>
  <c r="AU44" i="8"/>
  <c r="AU175" i="8" s="1"/>
  <c r="AU54" i="8"/>
  <c r="AW54" i="8" s="1"/>
  <c r="AW70" i="8" s="1"/>
  <c r="AU51" i="8"/>
  <c r="AV51" i="8" s="1"/>
  <c r="AV84" i="8" s="1"/>
  <c r="AU49" i="8"/>
  <c r="AW49" i="8" s="1"/>
  <c r="AW105" i="8" s="1"/>
  <c r="AU52" i="8"/>
  <c r="AV52" i="8" s="1"/>
  <c r="AV78" i="8" s="1"/>
  <c r="AU48" i="8"/>
  <c r="AW48" i="8" s="1"/>
  <c r="AW122" i="8" s="1"/>
  <c r="AU53" i="8"/>
  <c r="AU73" i="8" s="1"/>
  <c r="AU56" i="8"/>
  <c r="AU60" i="8" s="1"/>
  <c r="AU47" i="8"/>
  <c r="AW47" i="8" s="1"/>
  <c r="AW130" i="8" s="1"/>
  <c r="AU55" i="8"/>
  <c r="AW55" i="8" s="1"/>
  <c r="AW67" i="8" s="1"/>
  <c r="AU43" i="8"/>
  <c r="AU191" i="8" s="1"/>
  <c r="Z85" i="8"/>
  <c r="Z69" i="8"/>
  <c r="F105" i="8"/>
  <c r="I102" i="8"/>
  <c r="F106" i="8" s="1"/>
  <c r="AV50" i="8" l="1"/>
  <c r="AV93" i="8" s="1"/>
  <c r="AW50" i="8"/>
  <c r="AW93" i="8" s="1"/>
  <c r="AU156" i="8"/>
  <c r="AV44" i="8"/>
  <c r="AV175" i="8" s="1"/>
  <c r="AW46" i="8"/>
  <c r="AW144" i="8" s="1"/>
  <c r="AW44" i="8"/>
  <c r="AW175" i="8" s="1"/>
  <c r="AU144" i="8"/>
  <c r="AU70" i="8"/>
  <c r="AV54" i="8"/>
  <c r="AV70" i="8" s="1"/>
  <c r="AU130" i="8"/>
  <c r="AW56" i="8"/>
  <c r="AW60" i="8" s="1"/>
  <c r="AW45" i="8"/>
  <c r="AW156" i="8" s="1"/>
  <c r="AU78" i="8"/>
  <c r="AU122" i="8"/>
  <c r="AW52" i="8"/>
  <c r="AW78" i="8" s="1"/>
  <c r="AW53" i="8"/>
  <c r="AW73" i="8" s="1"/>
  <c r="AV48" i="8"/>
  <c r="AV122" i="8" s="1"/>
  <c r="AU84" i="8"/>
  <c r="AW51" i="8"/>
  <c r="AW84" i="8" s="1"/>
  <c r="AU105" i="8"/>
  <c r="AV49" i="8"/>
  <c r="AV105" i="8" s="1"/>
  <c r="AV43" i="8"/>
  <c r="AV191" i="8" s="1"/>
  <c r="AW43" i="8"/>
  <c r="AW191" i="8" s="1"/>
  <c r="AU67" i="8"/>
  <c r="AV53" i="8"/>
  <c r="AV73" i="8" s="1"/>
  <c r="AV47" i="8"/>
  <c r="AV130" i="8" s="1"/>
  <c r="AV56" i="8"/>
  <c r="AV60" i="8" s="1"/>
  <c r="AV55" i="8"/>
  <c r="AV67" i="8" s="1"/>
  <c r="Z86" i="8"/>
  <c r="Z70" i="8"/>
  <c r="F109" i="8"/>
  <c r="F34" i="7" s="1"/>
  <c r="J33" i="8" s="1"/>
  <c r="Z71" i="8" l="1"/>
  <c r="Z87" i="8"/>
  <c r="Z73" i="8" l="1"/>
  <c r="Z72" i="8"/>
</calcChain>
</file>

<file path=xl/sharedStrings.xml><?xml version="1.0" encoding="utf-8"?>
<sst xmlns="http://schemas.openxmlformats.org/spreadsheetml/2006/main" count="1040" uniqueCount="352">
  <si>
    <t>CA #1</t>
  </si>
  <si>
    <t>CA #2</t>
  </si>
  <si>
    <t>CA #3</t>
  </si>
  <si>
    <t>Address:</t>
  </si>
  <si>
    <t>Phone:</t>
  </si>
  <si>
    <t>Date:</t>
  </si>
  <si>
    <t>Requested By:</t>
  </si>
  <si>
    <t>Pit Number</t>
  </si>
  <si>
    <t>Pit Name</t>
  </si>
  <si>
    <t>Size/Fraction</t>
  </si>
  <si>
    <t>Specific Gravity</t>
  </si>
  <si>
    <t>Absorption</t>
  </si>
  <si>
    <t>Sand #1</t>
  </si>
  <si>
    <t>Sand #2</t>
  </si>
  <si>
    <t>I</t>
  </si>
  <si>
    <t>I/II</t>
  </si>
  <si>
    <t>Fly Ash</t>
  </si>
  <si>
    <t>Cement</t>
  </si>
  <si>
    <t>C</t>
  </si>
  <si>
    <t>GGBFS</t>
  </si>
  <si>
    <t>AEA-Admix #1</t>
  </si>
  <si>
    <t>Admix # 2</t>
  </si>
  <si>
    <t>Admix #3</t>
  </si>
  <si>
    <t>Type/Class</t>
  </si>
  <si>
    <t>Proposed Mix Designs</t>
  </si>
  <si>
    <t>W/CM Ratio</t>
  </si>
  <si>
    <t>% Air Content</t>
  </si>
  <si>
    <t>Water</t>
  </si>
  <si>
    <t>Volume</t>
  </si>
  <si>
    <t>Comments:</t>
  </si>
  <si>
    <t>Other CM</t>
  </si>
  <si>
    <t>Admix Units</t>
  </si>
  <si>
    <t>oz/cy</t>
  </si>
  <si>
    <t>(27.00 cf +/- 0.10 cf)</t>
  </si>
  <si>
    <t>Company Name:</t>
  </si>
  <si>
    <t>Max Slump Range</t>
  </si>
  <si>
    <t>oz/100# CM</t>
  </si>
  <si>
    <t>Manufacturer/Supplier</t>
  </si>
  <si>
    <t>Mill/Plant/Admix Name</t>
  </si>
  <si>
    <t>Ready-Mix Plant:</t>
  </si>
  <si>
    <t>Project Number:</t>
  </si>
  <si>
    <t>Project Name:</t>
  </si>
  <si>
    <t>Contract Number:</t>
  </si>
  <si>
    <t>MDT District:</t>
  </si>
  <si>
    <t>District</t>
  </si>
  <si>
    <t>Missoula (1)</t>
  </si>
  <si>
    <t>Butte (2)</t>
  </si>
  <si>
    <t>Great Falls (3)</t>
  </si>
  <si>
    <t>Glendive (4)</t>
  </si>
  <si>
    <t>Billings (5)</t>
  </si>
  <si>
    <t>Concrete/Aggregate Supervisor</t>
  </si>
  <si>
    <t>Montana Department of Transportation</t>
  </si>
  <si>
    <t>Materials Bureau</t>
  </si>
  <si>
    <t>2701 Prospect Avenue</t>
  </si>
  <si>
    <t>Helena, MT 59620</t>
  </si>
  <si>
    <t>Submit To:</t>
  </si>
  <si>
    <t>Email:</t>
  </si>
  <si>
    <t>II</t>
  </si>
  <si>
    <t>III</t>
  </si>
  <si>
    <t>V</t>
  </si>
  <si>
    <t>F</t>
  </si>
  <si>
    <t>Agency Representative (EPM):</t>
  </si>
  <si>
    <t>Agency (MDT District):</t>
  </si>
  <si>
    <t>Agency EPM:</t>
  </si>
  <si>
    <t>Admix #4</t>
  </si>
  <si>
    <t>Pan</t>
  </si>
  <si>
    <t>No. 200</t>
  </si>
  <si>
    <t>No. 100</t>
  </si>
  <si>
    <t>No. 50</t>
  </si>
  <si>
    <t>No. 30</t>
  </si>
  <si>
    <t>No. 16</t>
  </si>
  <si>
    <t>No. 8</t>
  </si>
  <si>
    <t>No. 4</t>
  </si>
  <si>
    <t>3/8 in.</t>
  </si>
  <si>
    <t>1/2 in.</t>
  </si>
  <si>
    <t>3/4 in.</t>
  </si>
  <si>
    <t>1 in.</t>
  </si>
  <si>
    <t>1 1/2 in.</t>
  </si>
  <si>
    <t>2 in.</t>
  </si>
  <si>
    <r>
      <t xml:space="preserve">Deviation 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</si>
  <si>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r>
      <t xml:space="preserve">Power Chart 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</si>
  <si>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% Passing</t>
  </si>
  <si>
    <t>Sieve</t>
  </si>
  <si>
    <t xml:space="preserve">Nominal Maximum Sieve Size = </t>
  </si>
  <si>
    <t>0.45 Power Chart</t>
  </si>
  <si>
    <t>Workability Factor, WF =</t>
  </si>
  <si>
    <t>Coarseness Factor, CF =</t>
  </si>
  <si>
    <t>Blend %</t>
  </si>
  <si>
    <t>Date</t>
  </si>
  <si>
    <t>Prepared By</t>
  </si>
  <si>
    <t>Concrete Mix</t>
  </si>
  <si>
    <t>Project</t>
  </si>
  <si>
    <t>% Retained</t>
  </si>
  <si>
    <t>Each</t>
  </si>
  <si>
    <t>Combined</t>
  </si>
  <si>
    <t>Fine Aggregate</t>
  </si>
  <si>
    <t>Mid</t>
  </si>
  <si>
    <t>Coarse Aggregate</t>
  </si>
  <si>
    <r>
      <t>lb/yd</t>
    </r>
    <r>
      <rPr>
        <vertAlign val="superscript"/>
        <sz val="11"/>
        <color theme="1"/>
        <rFont val="Calibri"/>
        <family val="2"/>
        <scheme val="minor"/>
      </rPr>
      <t>3</t>
    </r>
  </si>
  <si>
    <t>Cementitious Material =</t>
  </si>
  <si>
    <t>Coarseness Factor Chart, 0.45 Power Chart, and Percent Retained Chart</t>
  </si>
  <si>
    <t>Aggregate Data</t>
  </si>
  <si>
    <t>Right CF Limit</t>
  </si>
  <si>
    <t>Left CF Limit</t>
  </si>
  <si>
    <t>OK?</t>
  </si>
  <si>
    <t>Check Left and Right of Box</t>
  </si>
  <si>
    <t>Point is Below Top?</t>
  </si>
  <si>
    <t>Blend WF</t>
  </si>
  <si>
    <t>Line WF</t>
  </si>
  <si>
    <t>Blend CF</t>
  </si>
  <si>
    <t>Interpolate along this line for the blend CF</t>
  </si>
  <si>
    <t>WF</t>
  </si>
  <si>
    <t>CF</t>
  </si>
  <si>
    <t>Zone is below line defined by;</t>
  </si>
  <si>
    <t>Check Top of Box</t>
  </si>
  <si>
    <t>Point is above Bottom?</t>
  </si>
  <si>
    <t>Check bottom of Box</t>
  </si>
  <si>
    <t>Determine if the blend is in the Workability Box</t>
  </si>
  <si>
    <t>Rocky</t>
  </si>
  <si>
    <t>Zone V</t>
  </si>
  <si>
    <t>Sticky</t>
  </si>
  <si>
    <t>Zone IV</t>
  </si>
  <si>
    <t>Well Graded 3/4 in. and finer</t>
  </si>
  <si>
    <t>Zone III</t>
  </si>
  <si>
    <t>Well graded 1-1/2 to 3/4 in.</t>
  </si>
  <si>
    <t>Zone II</t>
  </si>
  <si>
    <t>Gap-graded and tends to segregate</t>
  </si>
  <si>
    <t xml:space="preserve">Zone I </t>
  </si>
  <si>
    <t>Min CF</t>
  </si>
  <si>
    <t>Zone</t>
  </si>
  <si>
    <t>Blend CF =</t>
  </si>
  <si>
    <t>Zone 4 or 5?</t>
  </si>
  <si>
    <t>If NOT Zone 5 or 4, then pick Zone 1, 2, or 3 using CF</t>
  </si>
  <si>
    <t xml:space="preserve">Zone 4 = </t>
  </si>
  <si>
    <t>Adjustment</t>
  </si>
  <si>
    <t>Check Zone 4</t>
  </si>
  <si>
    <t xml:space="preserve">Zone 5 = </t>
  </si>
  <si>
    <t>SubZones II-a,b,c</t>
  </si>
  <si>
    <t>Check Zone 5</t>
  </si>
  <si>
    <t>Determine which zone the blend is in.</t>
  </si>
  <si>
    <r>
      <t xml:space="preserve">WF,     32 </t>
    </r>
    <r>
      <rPr>
        <sz val="11"/>
        <color theme="1"/>
        <rFont val="Calibri"/>
        <family val="2"/>
      </rPr>
      <t>≤ WF ≤ 36  When CF = 68</t>
    </r>
  </si>
  <si>
    <r>
      <t xml:space="preserve">WF,     34 </t>
    </r>
    <r>
      <rPr>
        <sz val="11"/>
        <color theme="1"/>
        <rFont val="Calibri"/>
        <family val="2"/>
      </rPr>
      <t>≤ WF ≤ 38  When CF = 52</t>
    </r>
  </si>
  <si>
    <r>
      <t xml:space="preserve">CF,     52 </t>
    </r>
    <r>
      <rPr>
        <sz val="11"/>
        <color theme="1"/>
        <rFont val="Calibri"/>
        <family val="2"/>
      </rPr>
      <t>≤ CF ≤ 68</t>
    </r>
  </si>
  <si>
    <t>Zone Lines</t>
  </si>
  <si>
    <t>Workability Box</t>
  </si>
  <si>
    <t>Combined Aggregate</t>
  </si>
  <si>
    <t>Cementitious Material, lb/yd</t>
  </si>
  <si>
    <t>C =</t>
  </si>
  <si>
    <t>Cumulitive % Passing on No. 8 inch Sieve</t>
  </si>
  <si>
    <t>W =</t>
  </si>
  <si>
    <t>Cumulitive % Retained on No. 8 inch Sieve</t>
  </si>
  <si>
    <t>T =</t>
  </si>
  <si>
    <t>Cumulitive % Retained on 3/8 inch Sieve</t>
  </si>
  <si>
    <t>S =</t>
  </si>
  <si>
    <t>High</t>
  </si>
  <si>
    <t>Low</t>
  </si>
  <si>
    <t>Workability Factor, WF = W + 2.5(C-564)/94</t>
  </si>
  <si>
    <t>Plotting Data</t>
  </si>
  <si>
    <t>WF =</t>
  </si>
  <si>
    <t>Square Opening, Microns</t>
  </si>
  <si>
    <t>Square Opening, in.</t>
  </si>
  <si>
    <t>Sieve Size</t>
  </si>
  <si>
    <t>Coarseness Factor, CF = S/T</t>
  </si>
  <si>
    <r>
      <t>Log(Microns</t>
    </r>
    <r>
      <rPr>
        <vertAlign val="superscript"/>
        <sz val="9"/>
        <color theme="1"/>
        <rFont val="Calibri"/>
        <family val="2"/>
        <scheme val="minor"/>
      </rPr>
      <t>0.45</t>
    </r>
    <r>
      <rPr>
        <sz val="9"/>
        <color theme="1"/>
        <rFont val="Calibri"/>
        <family val="2"/>
        <scheme val="minor"/>
      </rPr>
      <t>)</t>
    </r>
  </si>
  <si>
    <r>
      <t>Microns</t>
    </r>
    <r>
      <rPr>
        <vertAlign val="superscript"/>
        <sz val="9"/>
        <color theme="1"/>
        <rFont val="Calibri"/>
        <family val="2"/>
        <scheme val="minor"/>
      </rPr>
      <t>0.45</t>
    </r>
  </si>
  <si>
    <t>Microns</t>
  </si>
  <si>
    <t>mm</t>
  </si>
  <si>
    <t>inches</t>
  </si>
  <si>
    <t>Mesh</t>
  </si>
  <si>
    <t>Concrete Set</t>
  </si>
  <si>
    <t>CF =</t>
  </si>
  <si>
    <t>Best Fit</t>
  </si>
  <si>
    <t>Power Chart</t>
  </si>
  <si>
    <t>Locator</t>
  </si>
  <si>
    <t>Count</t>
  </si>
  <si>
    <t>Lookup Table for Nominal Size</t>
  </si>
  <si>
    <t>High/Low</t>
  </si>
  <si>
    <t>Best Fit Power Chart Example</t>
  </si>
  <si>
    <t>Intercept</t>
  </si>
  <si>
    <t>Slope</t>
  </si>
  <si>
    <t>Nominal Size</t>
  </si>
  <si>
    <t>Suggested Ranges</t>
  </si>
  <si>
    <t>Page is normally hidden.</t>
  </si>
  <si>
    <t>This is the Calculation page and it has a copy of the Input &amp; Output tables and graphs.</t>
  </si>
  <si>
    <t>MA #1</t>
  </si>
  <si>
    <t>Input Fields are Green</t>
  </si>
  <si>
    <t>Trial Batch Data</t>
  </si>
  <si>
    <t>3 - Day</t>
  </si>
  <si>
    <t>7 - Day</t>
  </si>
  <si>
    <t>28 - Day</t>
  </si>
  <si>
    <t>MDT Concrete Class:</t>
  </si>
  <si>
    <t>AVG.</t>
  </si>
  <si>
    <t>(psi)</t>
  </si>
  <si>
    <t>(coulombs)</t>
  </si>
  <si>
    <t>AVG</t>
  </si>
  <si>
    <t>Admix</t>
  </si>
  <si>
    <t>Type A</t>
  </si>
  <si>
    <t>Type B</t>
  </si>
  <si>
    <t>Type C</t>
  </si>
  <si>
    <t>Type D</t>
  </si>
  <si>
    <t>Type E</t>
  </si>
  <si>
    <t>Type F</t>
  </si>
  <si>
    <t>Type G</t>
  </si>
  <si>
    <t>Type S</t>
  </si>
  <si>
    <t>Air - Entraining</t>
  </si>
  <si>
    <t>Proposed Aggregates, Cementitious Materials and Admixtures</t>
  </si>
  <si>
    <t>Gradation Type</t>
  </si>
  <si>
    <t>Conventional</t>
  </si>
  <si>
    <t>General</t>
  </si>
  <si>
    <t>Structure</t>
  </si>
  <si>
    <t>Deck</t>
  </si>
  <si>
    <t>Pave</t>
  </si>
  <si>
    <t>Pre</t>
  </si>
  <si>
    <t>Overlay-SF</t>
  </si>
  <si>
    <t>Overlay-LM</t>
  </si>
  <si>
    <t>Drilled Shaft</t>
  </si>
  <si>
    <t>Other</t>
  </si>
  <si>
    <t>SCC</t>
  </si>
  <si>
    <t>Target Slump</t>
  </si>
  <si>
    <t>1"</t>
  </si>
  <si>
    <t>2"</t>
  </si>
  <si>
    <t>3"</t>
  </si>
  <si>
    <t>4"</t>
  </si>
  <si>
    <t>5"</t>
  </si>
  <si>
    <t>Admix #5 Dosage</t>
  </si>
  <si>
    <t>Admix #4 Dosage</t>
  </si>
  <si>
    <t>Admix #3 Dosage</t>
  </si>
  <si>
    <t>Admix #2 Dosage</t>
  </si>
  <si>
    <t>Admix #1 Dosage</t>
  </si>
  <si>
    <t>Admix #5</t>
  </si>
  <si>
    <t>Coarse</t>
  </si>
  <si>
    <r>
      <rPr>
        <b/>
        <sz val="10"/>
        <rFont val="Arial"/>
        <family val="2"/>
      </rPr>
      <t xml:space="preserve">Soundness AASHTO T 104: </t>
    </r>
    <r>
      <rPr>
        <sz val="10"/>
        <rFont val="Arial"/>
        <family val="2"/>
      </rPr>
      <t>(%)</t>
    </r>
  </si>
  <si>
    <t>Fine</t>
  </si>
  <si>
    <t>Organic Impurities AASHTO T 21</t>
  </si>
  <si>
    <r>
      <t xml:space="preserve">Clay and Friable AASHTO T 112: </t>
    </r>
    <r>
      <rPr>
        <sz val="10"/>
        <rFont val="Arial"/>
        <family val="2"/>
      </rPr>
      <t>(%)</t>
    </r>
  </si>
  <si>
    <r>
      <t xml:space="preserve">Lightweight Pieces AASHTO T 113: </t>
    </r>
    <r>
      <rPr>
        <sz val="10"/>
        <rFont val="Arial"/>
        <family val="2"/>
      </rPr>
      <t>(%)</t>
    </r>
  </si>
  <si>
    <t>Fax: 406-444-6204</t>
  </si>
  <si>
    <t>Coarse #2</t>
  </si>
  <si>
    <t>Fine #2</t>
  </si>
  <si>
    <t>Intermediate</t>
  </si>
  <si>
    <t>Office: 406-444-7041</t>
  </si>
  <si>
    <t>District Materials Supervisor:</t>
  </si>
  <si>
    <t>II/V</t>
  </si>
  <si>
    <t>IL</t>
  </si>
  <si>
    <t>IP</t>
  </si>
  <si>
    <t>IS</t>
  </si>
  <si>
    <t>GU</t>
  </si>
  <si>
    <t>HE</t>
  </si>
  <si>
    <t>MS</t>
  </si>
  <si>
    <t>HS</t>
  </si>
  <si>
    <t>MH</t>
  </si>
  <si>
    <t>LH</t>
  </si>
  <si>
    <t>Surface Resistivity</t>
  </si>
  <si>
    <t>Unit</t>
  </si>
  <si>
    <t>lbs.</t>
  </si>
  <si>
    <t>SSD lbs.</t>
  </si>
  <si>
    <t>Concrete Supplier:</t>
  </si>
  <si>
    <t>Requester (Prime Contractor):</t>
  </si>
  <si>
    <t>Concrete Subcontractor:</t>
  </si>
  <si>
    <t>Professional Engineer of Record</t>
  </si>
  <si>
    <t>Admix #6 Dosage</t>
  </si>
  <si>
    <r>
      <rPr>
        <b/>
        <sz val="10"/>
        <rFont val="Arial"/>
        <family val="2"/>
      </rPr>
      <t>Wear AASHTO T96:</t>
    </r>
    <r>
      <rPr>
        <sz val="10"/>
        <rFont val="Arial"/>
        <family val="2"/>
      </rPr>
      <t>(%)</t>
    </r>
  </si>
  <si>
    <r>
      <rPr>
        <b/>
        <sz val="10"/>
        <rFont val="Arial"/>
        <family val="2"/>
      </rPr>
      <t>Soundness AASHTO T104:</t>
    </r>
    <r>
      <rPr>
        <sz val="10"/>
        <rFont val="Arial"/>
        <family val="2"/>
      </rPr>
      <t>(%)</t>
    </r>
  </si>
  <si>
    <r>
      <t>Lightweight Pieces AASHTO T113:</t>
    </r>
    <r>
      <rPr>
        <sz val="10"/>
        <rFont val="Arial"/>
        <family val="2"/>
      </rPr>
      <t>(%)</t>
    </r>
  </si>
  <si>
    <r>
      <t>Clay and Friable AASHTO T112:</t>
    </r>
    <r>
      <rPr>
        <sz val="10"/>
        <rFont val="Arial"/>
        <family val="2"/>
      </rPr>
      <t>(%)</t>
    </r>
  </si>
  <si>
    <t>Coarse #3</t>
  </si>
  <si>
    <t>(Kohm-cm)</t>
  </si>
  <si>
    <t>Admix #6</t>
  </si>
  <si>
    <t>Mix Designer:</t>
  </si>
  <si>
    <t>Tests Performed By (ACI Tech.):</t>
  </si>
  <si>
    <t>(Target)</t>
  </si>
  <si>
    <r>
      <t xml:space="preserve">Aggregate 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</si>
  <si>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r>
      <t xml:space="preserve">Sieve 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</si>
  <si>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Tolerance      (Table 701-5)</t>
  </si>
  <si>
    <t>CLSM Exc.</t>
  </si>
  <si>
    <t>CLSM Non-Exc.</t>
  </si>
  <si>
    <t>Spec</t>
  </si>
  <si>
    <t>Range</t>
  </si>
  <si>
    <t>(701-4)</t>
  </si>
  <si>
    <t>(701-2)</t>
  </si>
  <si>
    <t>Table</t>
  </si>
  <si>
    <t>95-100%</t>
  </si>
  <si>
    <t>80-100%</t>
  </si>
  <si>
    <t>50-85%</t>
  </si>
  <si>
    <t>25-60%</t>
  </si>
  <si>
    <t>5-30%</t>
  </si>
  <si>
    <t>0-10%</t>
  </si>
  <si>
    <t>0-3%</t>
  </si>
  <si>
    <t>Class of Concrete</t>
  </si>
  <si>
    <t>Signature:</t>
  </si>
  <si>
    <t>Professional Engineer Stamp</t>
  </si>
  <si>
    <t>(Class Pave)</t>
  </si>
  <si>
    <t xml:space="preserve"> (psi)</t>
  </si>
  <si>
    <t>Soundness Perfomed With:</t>
  </si>
  <si>
    <t>Number:</t>
  </si>
  <si>
    <r>
      <t>56 - Day</t>
    </r>
    <r>
      <rPr>
        <b/>
        <sz val="10"/>
        <color rgb="FFFF0000"/>
        <rFont val="Arial"/>
        <family val="2"/>
      </rPr>
      <t>*</t>
    </r>
  </si>
  <si>
    <t>Concrete Class</t>
  </si>
  <si>
    <t>Please select gradation type from list</t>
  </si>
  <si>
    <t>Aggregate Class*</t>
  </si>
  <si>
    <t>*Table 701-4 Standard Spec</t>
  </si>
  <si>
    <t>Compressive Strengths</t>
  </si>
  <si>
    <t>Modulus of Rupture</t>
  </si>
  <si>
    <r>
      <t xml:space="preserve">Slump </t>
    </r>
    <r>
      <rPr>
        <sz val="10"/>
        <rFont val="Arial"/>
        <family val="2"/>
      </rPr>
      <t>(inches)</t>
    </r>
  </si>
  <si>
    <r>
      <t xml:space="preserve">Temperature </t>
    </r>
    <r>
      <rPr>
        <sz val="10"/>
        <rFont val="Arial"/>
        <family val="2"/>
      </rPr>
      <t>(⁰F)</t>
    </r>
  </si>
  <si>
    <r>
      <t xml:space="preserve">Air </t>
    </r>
    <r>
      <rPr>
        <sz val="10"/>
        <rFont val="Arial"/>
        <family val="2"/>
      </rPr>
      <t>(%)</t>
    </r>
  </si>
  <si>
    <r>
      <t xml:space="preserve">Slump-Flow </t>
    </r>
    <r>
      <rPr>
        <sz val="10"/>
        <rFont val="Arial"/>
        <family val="2"/>
      </rPr>
      <t>(inches)</t>
    </r>
  </si>
  <si>
    <r>
      <t xml:space="preserve">J-Ring </t>
    </r>
    <r>
      <rPr>
        <sz val="10"/>
        <rFont val="Arial"/>
        <family val="2"/>
      </rPr>
      <t>(inches)</t>
    </r>
  </si>
  <si>
    <t>VSI</t>
  </si>
  <si>
    <t>Rapid Chloride Permeability</t>
  </si>
  <si>
    <r>
      <t>56 - Day</t>
    </r>
    <r>
      <rPr>
        <b/>
        <sz val="11"/>
        <color rgb="FFFF0000"/>
        <rFont val="Arial"/>
        <family val="2"/>
      </rPr>
      <t>*</t>
    </r>
  </si>
  <si>
    <t>(All weights are in lbs/cy; aggregates are considered to be SSD; the unit weight of water is 62.4 lbs/cf; 
admixtures dosages are in oz/100# CM or oz/cy, volume of mix is 27.00 cf +/- 0.10 cf)</t>
  </si>
  <si>
    <t>*Optional, if submitted per 551.03.2(A)(8)(b)</t>
  </si>
  <si>
    <t>AASHTOWARE ID (MDT Only):</t>
  </si>
  <si>
    <t>Date Submitted:</t>
  </si>
  <si>
    <t>DMS</t>
  </si>
  <si>
    <t>Mike Walsh</t>
  </si>
  <si>
    <t>Jaronn Boysun</t>
  </si>
  <si>
    <t>Original Submittal</t>
  </si>
  <si>
    <t>Transfer To</t>
  </si>
  <si>
    <t>Aggregate Type</t>
  </si>
  <si>
    <t>Cement Type</t>
  </si>
  <si>
    <t>*My signature certifies these test results are in compliance with MT 100.</t>
  </si>
  <si>
    <t>I/II/V</t>
  </si>
  <si>
    <t>IT</t>
  </si>
  <si>
    <r>
      <t xml:space="preserve">By checking this box I certify that this is a true </t>
    </r>
    <r>
      <rPr>
        <b/>
        <sz val="11"/>
        <color rgb="FFFF0000"/>
        <rFont val="Calibri"/>
        <family val="2"/>
        <scheme val="minor"/>
      </rPr>
      <t>transfer</t>
    </r>
    <r>
      <rPr>
        <sz val="10"/>
        <rFont val="Arial"/>
        <family val="2"/>
      </rPr>
      <t xml:space="preserve"> of the AASHTOWARE ID mix design listed </t>
    </r>
  </si>
  <si>
    <t>above; that sources, gradations, bin splits and test results are identical and representative of materials</t>
  </si>
  <si>
    <t>to be incorporated in this project; and that materials conform to all contract requirements.</t>
  </si>
  <si>
    <t>Note: Submit only the Transfer Form to initiate transfer of mix design.</t>
  </si>
  <si>
    <t>Date Submitted</t>
  </si>
  <si>
    <t>PE of Record</t>
  </si>
  <si>
    <t>AASHTO T 277</t>
  </si>
  <si>
    <t>AASHTO T 358</t>
  </si>
  <si>
    <t>Class Deck or Overlay SF</t>
  </si>
  <si>
    <t>Soundness Performed With</t>
  </si>
  <si>
    <t>Magnesium Sulfate</t>
  </si>
  <si>
    <t>Sodium Sulfate</t>
  </si>
  <si>
    <t>Optimized</t>
  </si>
  <si>
    <t>Structure - Low Slump</t>
  </si>
  <si>
    <t>Brian Stremcha</t>
  </si>
  <si>
    <t>Joint</t>
  </si>
  <si>
    <t>Unclassifed</t>
  </si>
  <si>
    <t>Ultra High Performance</t>
  </si>
  <si>
    <t>6"</t>
  </si>
  <si>
    <t>SCC-General</t>
  </si>
  <si>
    <t>SCC-Structure</t>
  </si>
  <si>
    <t>David Cadena</t>
  </si>
  <si>
    <t>Christian Wright</t>
  </si>
  <si>
    <r>
      <rPr>
        <b/>
        <sz val="10"/>
        <rFont val="Arial"/>
        <family val="2"/>
      </rPr>
      <t xml:space="preserve">Yield </t>
    </r>
    <r>
      <rPr>
        <sz val="10"/>
        <rFont val="Arial"/>
        <family val="2"/>
      </rPr>
      <t>(yd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</si>
  <si>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 xml:space="preserve">Unit Weight </t>
    </r>
    <r>
      <rPr>
        <sz val="10"/>
        <rFont val="Arial"/>
        <family val="2"/>
      </rPr>
      <t>(lb/ft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</si>
  <si>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SCC Target Slump-Flow</t>
  </si>
  <si>
    <r>
      <rPr>
        <b/>
        <sz val="10"/>
        <rFont val="Arial"/>
        <family val="2"/>
      </rPr>
      <t>Target Slump-Flow</t>
    </r>
    <r>
      <rPr>
        <sz val="10"/>
        <rFont val="Arial"/>
        <family val="2"/>
      </rPr>
      <t xml:space="preserve"> (inches)</t>
    </r>
  </si>
  <si>
    <t>SCC-Deck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</si>
</sst>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%"/>
    <numFmt numFmtId="167" formatCode="#\ ?/2"/>
    <numFmt numFmtId="168" formatCode="[&lt;=9999999]###\-####;\(###\)\ ###\-####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Arial"/>
      <family val="2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  <font>
      <b/>
      <i/>
      <sz val="11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4506668294322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8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42">
    <xf numFmtId="0" fontId="0" fillId="0" borderId="0" xfId="0"/>
    <xf numFmtId="0" fontId="9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8" fillId="0" borderId="0" xfId="0" applyFont="1"/>
    <xf numFmtId="1" fontId="11" fillId="0" borderId="6" xfId="0" applyNumberFormat="1" applyFont="1" applyBorder="1" applyProtection="1">
      <protection hidden="1"/>
    </xf>
    <xf numFmtId="9" fontId="11" fillId="0" borderId="5" xfId="0" applyNumberFormat="1" applyFont="1" applyBorder="1" applyProtection="1">
      <protection hidden="1"/>
    </xf>
    <xf numFmtId="14" fontId="11" fillId="0" borderId="0" xfId="0" applyNumberFormat="1" applyFont="1"/>
    <xf numFmtId="0" fontId="14" fillId="0" borderId="0" xfId="0" applyFont="1" applyAlignment="1">
      <alignment horizontal="right"/>
    </xf>
    <xf numFmtId="0" fontId="11" fillId="2" borderId="1" xfId="0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/>
      <protection locked="0"/>
    </xf>
    <xf numFmtId="12" fontId="11" fillId="2" borderId="2" xfId="0" applyNumberFormat="1" applyFont="1" applyFill="1" applyBorder="1" applyAlignment="1" applyProtection="1">
      <alignment horizontal="center"/>
      <protection locked="0"/>
    </xf>
    <xf numFmtId="2" fontId="11" fillId="2" borderId="2" xfId="0" applyNumberFormat="1" applyFont="1" applyFill="1" applyBorder="1" applyAlignment="1" applyProtection="1">
      <alignment horizontal="center"/>
      <protection locked="0"/>
    </xf>
    <xf numFmtId="165" fontId="11" fillId="2" borderId="2" xfId="0" applyNumberFormat="1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165" fontId="11" fillId="2" borderId="3" xfId="0" applyNumberFormat="1" applyFont="1" applyFill="1" applyBorder="1" applyAlignment="1" applyProtection="1">
      <alignment horizontal="center"/>
      <protection locked="0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49" fontId="8" fillId="2" borderId="4" xfId="0" applyNumberFormat="1" applyFont="1" applyFill="1" applyBorder="1" applyAlignment="1" applyProtection="1">
      <alignment horizontal="center"/>
      <protection locked="0"/>
    </xf>
    <xf numFmtId="0" fontId="6" fillId="0" borderId="0" xfId="3"/>
    <xf numFmtId="0" fontId="6" fillId="0" borderId="20" xfId="3" applyBorder="1"/>
    <xf numFmtId="0" fontId="6" fillId="0" borderId="11" xfId="3" applyBorder="1"/>
    <xf numFmtId="0" fontId="6" fillId="0" borderId="19" xfId="3" applyBorder="1"/>
    <xf numFmtId="0" fontId="6" fillId="0" borderId="28" xfId="3" applyBorder="1"/>
    <xf numFmtId="0" fontId="6" fillId="0" borderId="29" xfId="3" applyBorder="1"/>
    <xf numFmtId="166" fontId="0" fillId="0" borderId="30" xfId="4" applyNumberFormat="1" applyFont="1" applyBorder="1"/>
    <xf numFmtId="166" fontId="0" fillId="0" borderId="30" xfId="4" applyNumberFormat="1" applyFont="1" applyBorder="1" applyProtection="1">
      <protection hidden="1"/>
    </xf>
    <xf numFmtId="166" fontId="6" fillId="0" borderId="30" xfId="3" applyNumberFormat="1" applyBorder="1"/>
    <xf numFmtId="0" fontId="6" fillId="0" borderId="31" xfId="3" applyBorder="1" applyAlignment="1">
      <alignment horizontal="left"/>
    </xf>
    <xf numFmtId="166" fontId="0" fillId="0" borderId="32" xfId="4" applyNumberFormat="1" applyFont="1" applyBorder="1"/>
    <xf numFmtId="166" fontId="6" fillId="0" borderId="32" xfId="3" applyNumberFormat="1" applyBorder="1"/>
    <xf numFmtId="0" fontId="6" fillId="0" borderId="33" xfId="3" applyBorder="1" applyAlignment="1">
      <alignment horizontal="left"/>
    </xf>
    <xf numFmtId="165" fontId="6" fillId="0" borderId="33" xfId="3" applyNumberFormat="1" applyBorder="1" applyAlignment="1">
      <alignment horizontal="left"/>
    </xf>
    <xf numFmtId="164" fontId="6" fillId="0" borderId="33" xfId="3" applyNumberFormat="1" applyBorder="1" applyAlignment="1">
      <alignment horizontal="left"/>
    </xf>
    <xf numFmtId="2" fontId="6" fillId="0" borderId="33" xfId="3" applyNumberFormat="1" applyBorder="1" applyAlignment="1">
      <alignment horizontal="left"/>
    </xf>
    <xf numFmtId="0" fontId="6" fillId="0" borderId="0" xfId="3" applyAlignment="1">
      <alignment horizontal="right"/>
    </xf>
    <xf numFmtId="166" fontId="0" fillId="0" borderId="0" xfId="4" applyNumberFormat="1" applyFont="1" applyBorder="1"/>
    <xf numFmtId="12" fontId="6" fillId="0" borderId="33" xfId="3" applyNumberFormat="1" applyBorder="1" applyAlignment="1">
      <alignment horizontal="left"/>
    </xf>
    <xf numFmtId="166" fontId="0" fillId="0" borderId="34" xfId="4" applyNumberFormat="1" applyFont="1" applyBorder="1"/>
    <xf numFmtId="166" fontId="0" fillId="0" borderId="34" xfId="4" applyNumberFormat="1" applyFont="1" applyBorder="1" applyProtection="1">
      <protection hidden="1"/>
    </xf>
    <xf numFmtId="166" fontId="6" fillId="0" borderId="34" xfId="3" applyNumberFormat="1" applyBorder="1"/>
    <xf numFmtId="0" fontId="6" fillId="0" borderId="35" xfId="3" applyBorder="1" applyAlignment="1">
      <alignment horizontal="left"/>
    </xf>
    <xf numFmtId="0" fontId="6" fillId="0" borderId="0" xfId="3" applyAlignment="1">
      <alignment horizontal="center"/>
    </xf>
    <xf numFmtId="0" fontId="16" fillId="0" borderId="10" xfId="3" applyFont="1" applyBorder="1" applyAlignment="1">
      <alignment horizontal="center"/>
    </xf>
    <xf numFmtId="0" fontId="6" fillId="0" borderId="10" xfId="3" applyBorder="1" applyAlignment="1">
      <alignment horizontal="center" wrapText="1"/>
    </xf>
    <xf numFmtId="0" fontId="16" fillId="0" borderId="10" xfId="3" applyFont="1" applyBorder="1" applyAlignment="1">
      <alignment horizontal="center" wrapText="1"/>
    </xf>
    <xf numFmtId="0" fontId="6" fillId="0" borderId="20" xfId="3" applyBorder="1" applyProtection="1">
      <protection hidden="1"/>
    </xf>
    <xf numFmtId="0" fontId="6" fillId="0" borderId="11" xfId="3" applyBorder="1" applyAlignment="1">
      <alignment horizontal="right"/>
    </xf>
    <xf numFmtId="0" fontId="6" fillId="0" borderId="18" xfId="3" applyBorder="1"/>
    <xf numFmtId="0" fontId="6" fillId="0" borderId="13" xfId="3" applyBorder="1"/>
    <xf numFmtId="0" fontId="15" fillId="0" borderId="17" xfId="3" applyFont="1" applyBorder="1"/>
    <xf numFmtId="0" fontId="6" fillId="0" borderId="15" xfId="3" applyBorder="1"/>
    <xf numFmtId="0" fontId="19" fillId="0" borderId="36" xfId="3" applyFont="1" applyBorder="1"/>
    <xf numFmtId="0" fontId="19" fillId="0" borderId="37" xfId="3" applyFont="1" applyBorder="1"/>
    <xf numFmtId="0" fontId="6" fillId="0" borderId="37" xfId="3" applyBorder="1" applyAlignment="1">
      <alignment horizontal="left"/>
    </xf>
    <xf numFmtId="0" fontId="6" fillId="0" borderId="37" xfId="3" applyBorder="1" applyAlignment="1">
      <alignment horizontal="right"/>
    </xf>
    <xf numFmtId="0" fontId="19" fillId="0" borderId="31" xfId="3" applyFont="1" applyBorder="1"/>
    <xf numFmtId="0" fontId="6" fillId="0" borderId="38" xfId="3" applyBorder="1"/>
    <xf numFmtId="0" fontId="6" fillId="0" borderId="39" xfId="3" applyBorder="1"/>
    <xf numFmtId="0" fontId="20" fillId="0" borderId="38" xfId="3" applyFont="1" applyBorder="1" applyAlignment="1">
      <alignment horizontal="left"/>
    </xf>
    <xf numFmtId="166" fontId="6" fillId="0" borderId="39" xfId="3" applyNumberFormat="1" applyBorder="1" applyAlignment="1" applyProtection="1">
      <alignment horizontal="center"/>
      <protection hidden="1"/>
    </xf>
    <xf numFmtId="0" fontId="15" fillId="0" borderId="39" xfId="3" applyFont="1" applyBorder="1" applyAlignment="1">
      <alignment horizontal="right"/>
    </xf>
    <xf numFmtId="0" fontId="6" fillId="0" borderId="40" xfId="3" applyBorder="1"/>
    <xf numFmtId="0" fontId="20" fillId="0" borderId="13" xfId="3" applyFont="1" applyBorder="1" applyAlignment="1">
      <alignment horizontal="left"/>
    </xf>
    <xf numFmtId="166" fontId="6" fillId="0" borderId="13" xfId="3" applyNumberFormat="1" applyBorder="1" applyAlignment="1" applyProtection="1">
      <alignment horizontal="center"/>
      <protection hidden="1"/>
    </xf>
    <xf numFmtId="0" fontId="15" fillId="0" borderId="13" xfId="3" applyFont="1" applyBorder="1" applyAlignment="1">
      <alignment horizontal="right"/>
    </xf>
    <xf numFmtId="0" fontId="6" fillId="0" borderId="17" xfId="3" applyBorder="1"/>
    <xf numFmtId="166" fontId="21" fillId="0" borderId="0" xfId="3" applyNumberFormat="1" applyFont="1" applyAlignment="1">
      <alignment horizontal="left"/>
    </xf>
    <xf numFmtId="0" fontId="15" fillId="0" borderId="45" xfId="3" applyFont="1" applyBorder="1" applyAlignment="1">
      <alignment horizontal="right"/>
    </xf>
    <xf numFmtId="166" fontId="0" fillId="0" borderId="46" xfId="4" applyNumberFormat="1" applyFont="1" applyBorder="1"/>
    <xf numFmtId="166" fontId="0" fillId="0" borderId="47" xfId="4" applyNumberFormat="1" applyFont="1" applyBorder="1"/>
    <xf numFmtId="166" fontId="22" fillId="0" borderId="46" xfId="4" applyNumberFormat="1" applyFont="1" applyFill="1" applyBorder="1" applyProtection="1"/>
    <xf numFmtId="166" fontId="22" fillId="0" borderId="47" xfId="4" applyNumberFormat="1" applyFont="1" applyFill="1" applyBorder="1" applyProtection="1"/>
    <xf numFmtId="166" fontId="22" fillId="0" borderId="48" xfId="4" applyNumberFormat="1" applyFont="1" applyFill="1" applyBorder="1" applyProtection="1"/>
    <xf numFmtId="0" fontId="6" fillId="0" borderId="30" xfId="3" applyBorder="1" applyAlignment="1">
      <alignment horizontal="left"/>
    </xf>
    <xf numFmtId="166" fontId="0" fillId="0" borderId="49" xfId="4" applyNumberFormat="1" applyFont="1" applyBorder="1"/>
    <xf numFmtId="166" fontId="0" fillId="0" borderId="50" xfId="4" applyNumberFormat="1" applyFont="1" applyBorder="1"/>
    <xf numFmtId="0" fontId="6" fillId="0" borderId="32" xfId="3" applyBorder="1" applyAlignment="1">
      <alignment horizontal="left"/>
    </xf>
    <xf numFmtId="165" fontId="6" fillId="0" borderId="32" xfId="3" applyNumberFormat="1" applyBorder="1" applyAlignment="1">
      <alignment horizontal="left"/>
    </xf>
    <xf numFmtId="164" fontId="6" fillId="0" borderId="32" xfId="3" applyNumberFormat="1" applyBorder="1" applyAlignment="1">
      <alignment horizontal="left"/>
    </xf>
    <xf numFmtId="2" fontId="6" fillId="0" borderId="32" xfId="3" applyNumberFormat="1" applyBorder="1" applyAlignment="1">
      <alignment horizontal="left"/>
    </xf>
    <xf numFmtId="12" fontId="6" fillId="0" borderId="32" xfId="3" applyNumberFormat="1" applyBorder="1" applyAlignment="1">
      <alignment horizontal="left"/>
    </xf>
    <xf numFmtId="166" fontId="0" fillId="0" borderId="60" xfId="4" applyNumberFormat="1" applyFont="1" applyBorder="1"/>
    <xf numFmtId="166" fontId="0" fillId="0" borderId="61" xfId="4" applyNumberFormat="1" applyFont="1" applyBorder="1"/>
    <xf numFmtId="0" fontId="6" fillId="0" borderId="34" xfId="3" applyBorder="1" applyAlignment="1">
      <alignment horizontal="left"/>
    </xf>
    <xf numFmtId="0" fontId="23" fillId="0" borderId="12" xfId="3" applyFont="1" applyBorder="1" applyAlignment="1">
      <alignment horizontal="center" wrapText="1"/>
    </xf>
    <xf numFmtId="0" fontId="23" fillId="0" borderId="52" xfId="3" applyFont="1" applyBorder="1" applyAlignment="1">
      <alignment horizontal="center" wrapText="1"/>
    </xf>
    <xf numFmtId="0" fontId="23" fillId="0" borderId="54" xfId="3" applyFont="1" applyBorder="1" applyAlignment="1">
      <alignment horizontal="center" wrapText="1"/>
    </xf>
    <xf numFmtId="0" fontId="16" fillId="0" borderId="52" xfId="3" applyFont="1" applyBorder="1" applyAlignment="1">
      <alignment horizontal="center" wrapText="1"/>
    </xf>
    <xf numFmtId="0" fontId="16" fillId="0" borderId="54" xfId="3" applyFont="1" applyBorder="1" applyAlignment="1">
      <alignment horizontal="center" wrapText="1"/>
    </xf>
    <xf numFmtId="0" fontId="16" fillId="0" borderId="19" xfId="3" applyFont="1" applyBorder="1" applyAlignment="1">
      <alignment horizontal="center" wrapText="1"/>
    </xf>
    <xf numFmtId="0" fontId="16" fillId="0" borderId="53" xfId="3" applyFont="1" applyBorder="1" applyAlignment="1">
      <alignment horizontal="center" wrapText="1"/>
    </xf>
    <xf numFmtId="0" fontId="6" fillId="0" borderId="12" xfId="3" applyBorder="1" applyAlignment="1">
      <alignment horizontal="center" wrapText="1"/>
    </xf>
    <xf numFmtId="0" fontId="6" fillId="0" borderId="55" xfId="3" applyBorder="1" applyAlignment="1">
      <alignment horizontal="center"/>
    </xf>
    <xf numFmtId="0" fontId="6" fillId="0" borderId="57" xfId="3" applyBorder="1" applyAlignment="1">
      <alignment horizontal="center"/>
    </xf>
    <xf numFmtId="0" fontId="6" fillId="0" borderId="56" xfId="3" applyBorder="1" applyAlignment="1">
      <alignment horizontal="center"/>
    </xf>
    <xf numFmtId="0" fontId="6" fillId="0" borderId="63" xfId="3" applyBorder="1"/>
    <xf numFmtId="0" fontId="6" fillId="0" borderId="7" xfId="3" applyBorder="1"/>
    <xf numFmtId="0" fontId="6" fillId="0" borderId="64" xfId="3" applyBorder="1"/>
    <xf numFmtId="0" fontId="15" fillId="0" borderId="15" xfId="3" applyFont="1" applyBorder="1" applyAlignment="1">
      <alignment horizontal="right"/>
    </xf>
    <xf numFmtId="0" fontId="6" fillId="0" borderId="45" xfId="3" applyBorder="1"/>
    <xf numFmtId="0" fontId="15" fillId="0" borderId="37" xfId="3" applyFont="1" applyBorder="1" applyAlignment="1">
      <alignment horizontal="right"/>
    </xf>
    <xf numFmtId="0" fontId="6" fillId="0" borderId="31" xfId="3" applyBorder="1"/>
    <xf numFmtId="0" fontId="15" fillId="0" borderId="65" xfId="3" applyFont="1" applyBorder="1" applyAlignment="1">
      <alignment horizontal="right"/>
    </xf>
    <xf numFmtId="0" fontId="6" fillId="0" borderId="33" xfId="3" applyBorder="1"/>
    <xf numFmtId="0" fontId="15" fillId="0" borderId="67" xfId="3" applyFont="1" applyBorder="1" applyAlignment="1">
      <alignment horizontal="right"/>
    </xf>
    <xf numFmtId="0" fontId="6" fillId="0" borderId="35" xfId="3" applyBorder="1"/>
    <xf numFmtId="0" fontId="15" fillId="0" borderId="0" xfId="3" applyFont="1" applyAlignment="1">
      <alignment horizontal="center"/>
    </xf>
    <xf numFmtId="14" fontId="6" fillId="0" borderId="18" xfId="3" applyNumberFormat="1" applyBorder="1" applyAlignment="1">
      <alignment horizontal="right"/>
    </xf>
    <xf numFmtId="0" fontId="6" fillId="0" borderId="17" xfId="3" applyBorder="1" applyAlignment="1">
      <alignment horizontal="left"/>
    </xf>
    <xf numFmtId="0" fontId="15" fillId="0" borderId="13" xfId="3" applyFont="1" applyBorder="1" applyAlignment="1">
      <alignment horizontal="center"/>
    </xf>
    <xf numFmtId="0" fontId="6" fillId="3" borderId="15" xfId="3" applyFill="1" applyBorder="1"/>
    <xf numFmtId="9" fontId="0" fillId="0" borderId="20" xfId="4" applyFont="1" applyBorder="1"/>
    <xf numFmtId="9" fontId="0" fillId="0" borderId="11" xfId="4" applyFont="1" applyBorder="1"/>
    <xf numFmtId="9" fontId="0" fillId="0" borderId="28" xfId="4" applyFont="1" applyBorder="1"/>
    <xf numFmtId="9" fontId="0" fillId="0" borderId="0" xfId="4" applyFont="1" applyBorder="1"/>
    <xf numFmtId="9" fontId="6" fillId="0" borderId="0" xfId="3" applyNumberFormat="1"/>
    <xf numFmtId="166" fontId="6" fillId="0" borderId="0" xfId="3" applyNumberFormat="1"/>
    <xf numFmtId="9" fontId="6" fillId="0" borderId="28" xfId="3" applyNumberFormat="1" applyBorder="1"/>
    <xf numFmtId="9" fontId="6" fillId="0" borderId="29" xfId="3" applyNumberFormat="1" applyBorder="1"/>
    <xf numFmtId="166" fontId="6" fillId="0" borderId="11" xfId="3" applyNumberFormat="1" applyBorder="1"/>
    <xf numFmtId="9" fontId="6" fillId="0" borderId="19" xfId="3" applyNumberFormat="1" applyBorder="1"/>
    <xf numFmtId="9" fontId="6" fillId="0" borderId="20" xfId="3" applyNumberFormat="1" applyBorder="1"/>
    <xf numFmtId="166" fontId="6" fillId="0" borderId="20" xfId="3" applyNumberFormat="1" applyBorder="1"/>
    <xf numFmtId="166" fontId="6" fillId="0" borderId="28" xfId="3" applyNumberFormat="1" applyBorder="1"/>
    <xf numFmtId="164" fontId="6" fillId="0" borderId="11" xfId="3" applyNumberFormat="1" applyBorder="1"/>
    <xf numFmtId="164" fontId="6" fillId="0" borderId="0" xfId="3" applyNumberFormat="1"/>
    <xf numFmtId="9" fontId="0" fillId="0" borderId="0" xfId="4" applyFont="1"/>
    <xf numFmtId="164" fontId="6" fillId="0" borderId="13" xfId="3" applyNumberFormat="1" applyBorder="1"/>
    <xf numFmtId="166" fontId="0" fillId="0" borderId="0" xfId="4" applyNumberFormat="1" applyFont="1"/>
    <xf numFmtId="9" fontId="0" fillId="0" borderId="18" xfId="4" applyFont="1" applyBorder="1"/>
    <xf numFmtId="9" fontId="0" fillId="0" borderId="13" xfId="4" applyFont="1" applyBorder="1"/>
    <xf numFmtId="0" fontId="20" fillId="0" borderId="18" xfId="3" applyFont="1" applyBorder="1"/>
    <xf numFmtId="0" fontId="20" fillId="0" borderId="13" xfId="3" applyFont="1" applyBorder="1"/>
    <xf numFmtId="166" fontId="0" fillId="0" borderId="28" xfId="4" applyNumberFormat="1" applyFont="1" applyBorder="1"/>
    <xf numFmtId="166" fontId="0" fillId="0" borderId="11" xfId="4" applyNumberFormat="1" applyFont="1" applyBorder="1"/>
    <xf numFmtId="2" fontId="6" fillId="0" borderId="20" xfId="3" applyNumberFormat="1" applyBorder="1"/>
    <xf numFmtId="2" fontId="6" fillId="0" borderId="28" xfId="3" applyNumberFormat="1" applyBorder="1"/>
    <xf numFmtId="2" fontId="6" fillId="0" borderId="18" xfId="3" applyNumberFormat="1" applyBorder="1"/>
    <xf numFmtId="166" fontId="6" fillId="0" borderId="13" xfId="3" applyNumberFormat="1" applyBorder="1"/>
    <xf numFmtId="166" fontId="0" fillId="0" borderId="13" xfId="4" applyNumberFormat="1" applyFont="1" applyBorder="1"/>
    <xf numFmtId="0" fontId="20" fillId="0" borderId="20" xfId="3" applyFont="1" applyBorder="1"/>
    <xf numFmtId="0" fontId="6" fillId="0" borderId="10" xfId="3" applyBorder="1"/>
    <xf numFmtId="0" fontId="15" fillId="0" borderId="29" xfId="3" applyFont="1" applyBorder="1"/>
    <xf numFmtId="2" fontId="6" fillId="0" borderId="12" xfId="3" applyNumberFormat="1" applyBorder="1" applyAlignment="1">
      <alignment horizontal="center"/>
    </xf>
    <xf numFmtId="0" fontId="20" fillId="0" borderId="20" xfId="3" applyFont="1" applyBorder="1" applyAlignment="1">
      <alignment horizontal="right"/>
    </xf>
    <xf numFmtId="0" fontId="6" fillId="0" borderId="7" xfId="3" applyBorder="1" applyAlignment="1">
      <alignment horizontal="center"/>
    </xf>
    <xf numFmtId="0" fontId="6" fillId="0" borderId="18" xfId="3" applyBorder="1" applyAlignment="1">
      <alignment horizontal="right"/>
    </xf>
    <xf numFmtId="0" fontId="20" fillId="0" borderId="10" xfId="3" applyFont="1" applyBorder="1"/>
    <xf numFmtId="0" fontId="19" fillId="0" borderId="0" xfId="3" applyFont="1"/>
    <xf numFmtId="166" fontId="15" fillId="3" borderId="68" xfId="4" applyNumberFormat="1" applyFont="1" applyFill="1" applyBorder="1" applyAlignment="1">
      <alignment horizontal="right"/>
    </xf>
    <xf numFmtId="166" fontId="15" fillId="3" borderId="44" xfId="4" applyNumberFormat="1" applyFont="1" applyFill="1" applyBorder="1" applyAlignment="1">
      <alignment horizontal="right"/>
    </xf>
    <xf numFmtId="166" fontId="15" fillId="3" borderId="69" xfId="4" applyNumberFormat="1" applyFont="1" applyFill="1" applyBorder="1" applyAlignment="1">
      <alignment horizontal="right"/>
    </xf>
    <xf numFmtId="166" fontId="0" fillId="0" borderId="46" xfId="4" applyNumberFormat="1" applyFont="1" applyFill="1" applyBorder="1"/>
    <xf numFmtId="166" fontId="0" fillId="0" borderId="47" xfId="4" applyNumberFormat="1" applyFont="1" applyFill="1" applyBorder="1"/>
    <xf numFmtId="166" fontId="0" fillId="0" borderId="48" xfId="4" applyNumberFormat="1" applyFont="1" applyFill="1" applyBorder="1"/>
    <xf numFmtId="166" fontId="0" fillId="3" borderId="49" xfId="4" applyNumberFormat="1" applyFont="1" applyFill="1" applyBorder="1"/>
    <xf numFmtId="166" fontId="0" fillId="3" borderId="50" xfId="4" applyNumberFormat="1" applyFont="1" applyFill="1" applyBorder="1"/>
    <xf numFmtId="166" fontId="0" fillId="3" borderId="51" xfId="4" applyNumberFormat="1" applyFont="1" applyFill="1" applyBorder="1"/>
    <xf numFmtId="166" fontId="0" fillId="3" borderId="60" xfId="4" applyNumberFormat="1" applyFont="1" applyFill="1" applyBorder="1"/>
    <xf numFmtId="166" fontId="0" fillId="3" borderId="61" xfId="4" applyNumberFormat="1" applyFont="1" applyFill="1" applyBorder="1"/>
    <xf numFmtId="166" fontId="0" fillId="3" borderId="62" xfId="4" applyNumberFormat="1" applyFont="1" applyFill="1" applyBorder="1"/>
    <xf numFmtId="0" fontId="16" fillId="0" borderId="12" xfId="3" applyFont="1" applyBorder="1" applyAlignment="1">
      <alignment horizontal="center" wrapText="1"/>
    </xf>
    <xf numFmtId="0" fontId="16" fillId="0" borderId="20" xfId="3" applyFont="1" applyBorder="1" applyAlignment="1">
      <alignment horizontal="center" wrapText="1"/>
    </xf>
    <xf numFmtId="0" fontId="16" fillId="0" borderId="11" xfId="3" applyFont="1" applyBorder="1" applyAlignment="1">
      <alignment horizontal="center" wrapText="1"/>
    </xf>
    <xf numFmtId="0" fontId="6" fillId="0" borderId="63" xfId="3" applyBorder="1" applyAlignment="1">
      <alignment horizontal="center"/>
    </xf>
    <xf numFmtId="0" fontId="6" fillId="0" borderId="28" xfId="3" applyBorder="1" applyAlignment="1">
      <alignment horizontal="center"/>
    </xf>
    <xf numFmtId="0" fontId="6" fillId="0" borderId="29" xfId="3" applyBorder="1" applyAlignment="1">
      <alignment horizontal="center"/>
    </xf>
    <xf numFmtId="0" fontId="6" fillId="0" borderId="15" xfId="3" applyBorder="1" applyAlignment="1">
      <alignment horizontal="right"/>
    </xf>
    <xf numFmtId="0" fontId="27" fillId="0" borderId="0" xfId="3" applyFont="1"/>
    <xf numFmtId="0" fontId="5" fillId="0" borderId="0" xfId="5"/>
    <xf numFmtId="0" fontId="5" fillId="0" borderId="20" xfId="5" applyBorder="1"/>
    <xf numFmtId="0" fontId="5" fillId="0" borderId="11" xfId="5" applyBorder="1"/>
    <xf numFmtId="0" fontId="5" fillId="0" borderId="19" xfId="5" applyBorder="1"/>
    <xf numFmtId="0" fontId="5" fillId="0" borderId="28" xfId="5" applyBorder="1"/>
    <xf numFmtId="0" fontId="5" fillId="0" borderId="29" xfId="5" applyBorder="1"/>
    <xf numFmtId="166" fontId="0" fillId="0" borderId="30" xfId="6" applyNumberFormat="1" applyFont="1" applyBorder="1"/>
    <xf numFmtId="166" fontId="5" fillId="0" borderId="30" xfId="5" applyNumberFormat="1" applyBorder="1"/>
    <xf numFmtId="0" fontId="5" fillId="0" borderId="31" xfId="5" applyBorder="1" applyAlignment="1">
      <alignment horizontal="left"/>
    </xf>
    <xf numFmtId="166" fontId="0" fillId="0" borderId="32" xfId="6" applyNumberFormat="1" applyFont="1" applyBorder="1"/>
    <xf numFmtId="166" fontId="5" fillId="0" borderId="32" xfId="5" applyNumberFormat="1" applyBorder="1"/>
    <xf numFmtId="0" fontId="5" fillId="0" borderId="33" xfId="5" applyBorder="1" applyAlignment="1">
      <alignment horizontal="left"/>
    </xf>
    <xf numFmtId="165" fontId="5" fillId="0" borderId="33" xfId="5" applyNumberFormat="1" applyBorder="1" applyAlignment="1">
      <alignment horizontal="left"/>
    </xf>
    <xf numFmtId="164" fontId="5" fillId="0" borderId="33" xfId="5" applyNumberFormat="1" applyBorder="1" applyAlignment="1">
      <alignment horizontal="left"/>
    </xf>
    <xf numFmtId="2" fontId="5" fillId="0" borderId="33" xfId="5" applyNumberFormat="1" applyBorder="1" applyAlignment="1">
      <alignment horizontal="left"/>
    </xf>
    <xf numFmtId="0" fontId="5" fillId="0" borderId="0" xfId="5" applyAlignment="1">
      <alignment horizontal="right"/>
    </xf>
    <xf numFmtId="166" fontId="0" fillId="0" borderId="0" xfId="6" applyNumberFormat="1" applyFont="1" applyBorder="1"/>
    <xf numFmtId="12" fontId="5" fillId="0" borderId="33" xfId="5" applyNumberFormat="1" applyBorder="1" applyAlignment="1">
      <alignment horizontal="left"/>
    </xf>
    <xf numFmtId="166" fontId="0" fillId="0" borderId="34" xfId="6" applyNumberFormat="1" applyFont="1" applyBorder="1"/>
    <xf numFmtId="166" fontId="5" fillId="0" borderId="34" xfId="5" applyNumberFormat="1" applyBorder="1"/>
    <xf numFmtId="0" fontId="5" fillId="0" borderId="35" xfId="5" applyBorder="1" applyAlignment="1">
      <alignment horizontal="left"/>
    </xf>
    <xf numFmtId="0" fontId="5" fillId="0" borderId="0" xfId="5" applyAlignment="1">
      <alignment horizontal="center"/>
    </xf>
    <xf numFmtId="0" fontId="5" fillId="0" borderId="10" xfId="5" applyBorder="1" applyAlignment="1">
      <alignment horizontal="center" wrapText="1"/>
    </xf>
    <xf numFmtId="0" fontId="16" fillId="0" borderId="10" xfId="5" applyFont="1" applyBorder="1" applyAlignment="1">
      <alignment horizontal="center" wrapText="1"/>
    </xf>
    <xf numFmtId="0" fontId="5" fillId="0" borderId="20" xfId="5" applyBorder="1" applyProtection="1">
      <protection hidden="1"/>
    </xf>
    <xf numFmtId="0" fontId="5" fillId="0" borderId="11" xfId="5" applyBorder="1" applyAlignment="1">
      <alignment horizontal="right"/>
    </xf>
    <xf numFmtId="0" fontId="5" fillId="0" borderId="18" xfId="5" applyBorder="1"/>
    <xf numFmtId="0" fontId="5" fillId="0" borderId="13" xfId="5" applyBorder="1"/>
    <xf numFmtId="0" fontId="15" fillId="0" borderId="17" xfId="5" applyFont="1" applyBorder="1"/>
    <xf numFmtId="0" fontId="5" fillId="0" borderId="15" xfId="5" applyBorder="1"/>
    <xf numFmtId="0" fontId="19" fillId="0" borderId="36" xfId="5" applyFont="1" applyBorder="1"/>
    <xf numFmtId="0" fontId="19" fillId="0" borderId="37" xfId="5" applyFont="1" applyBorder="1"/>
    <xf numFmtId="0" fontId="5" fillId="0" borderId="37" xfId="5" applyBorder="1" applyAlignment="1">
      <alignment horizontal="left"/>
    </xf>
    <xf numFmtId="0" fontId="5" fillId="0" borderId="37" xfId="5" applyBorder="1" applyAlignment="1">
      <alignment horizontal="right"/>
    </xf>
    <xf numFmtId="0" fontId="19" fillId="0" borderId="31" xfId="5" applyFont="1" applyBorder="1"/>
    <xf numFmtId="0" fontId="5" fillId="0" borderId="38" xfId="5" applyBorder="1"/>
    <xf numFmtId="0" fontId="5" fillId="0" borderId="39" xfId="5" applyBorder="1"/>
    <xf numFmtId="0" fontId="20" fillId="0" borderId="38" xfId="5" applyFont="1" applyBorder="1" applyAlignment="1">
      <alignment horizontal="left"/>
    </xf>
    <xf numFmtId="166" fontId="5" fillId="0" borderId="39" xfId="5" applyNumberFormat="1" applyBorder="1" applyAlignment="1" applyProtection="1">
      <alignment horizontal="center"/>
      <protection hidden="1"/>
    </xf>
    <xf numFmtId="0" fontId="15" fillId="0" borderId="39" xfId="5" applyFont="1" applyBorder="1" applyAlignment="1">
      <alignment horizontal="right"/>
    </xf>
    <xf numFmtId="0" fontId="5" fillId="0" borderId="40" xfId="5" applyBorder="1"/>
    <xf numFmtId="0" fontId="20" fillId="0" borderId="13" xfId="5" applyFont="1" applyBorder="1" applyAlignment="1">
      <alignment horizontal="left"/>
    </xf>
    <xf numFmtId="166" fontId="5" fillId="0" borderId="13" xfId="5" applyNumberFormat="1" applyBorder="1" applyAlignment="1" applyProtection="1">
      <alignment horizontal="center"/>
      <protection hidden="1"/>
    </xf>
    <xf numFmtId="0" fontId="15" fillId="0" borderId="13" xfId="5" applyFont="1" applyBorder="1" applyAlignment="1">
      <alignment horizontal="right"/>
    </xf>
    <xf numFmtId="0" fontId="5" fillId="0" borderId="17" xfId="5" applyBorder="1"/>
    <xf numFmtId="166" fontId="21" fillId="0" borderId="0" xfId="5" applyNumberFormat="1" applyFont="1" applyAlignment="1">
      <alignment horizontal="left"/>
    </xf>
    <xf numFmtId="0" fontId="15" fillId="0" borderId="45" xfId="5" applyFont="1" applyBorder="1" applyAlignment="1">
      <alignment horizontal="right"/>
    </xf>
    <xf numFmtId="166" fontId="0" fillId="0" borderId="46" xfId="6" applyNumberFormat="1" applyFont="1" applyBorder="1"/>
    <xf numFmtId="166" fontId="0" fillId="0" borderId="47" xfId="6" applyNumberFormat="1" applyFont="1" applyBorder="1"/>
    <xf numFmtId="0" fontId="5" fillId="0" borderId="30" xfId="5" applyBorder="1" applyAlignment="1">
      <alignment horizontal="left"/>
    </xf>
    <xf numFmtId="166" fontId="0" fillId="0" borderId="49" xfId="6" applyNumberFormat="1" applyFont="1" applyBorder="1"/>
    <xf numFmtId="166" fontId="0" fillId="0" borderId="50" xfId="6" applyNumberFormat="1" applyFont="1" applyBorder="1"/>
    <xf numFmtId="0" fontId="5" fillId="0" borderId="32" xfId="5" applyBorder="1" applyAlignment="1">
      <alignment horizontal="left"/>
    </xf>
    <xf numFmtId="165" fontId="5" fillId="0" borderId="32" xfId="5" applyNumberFormat="1" applyBorder="1" applyAlignment="1">
      <alignment horizontal="left"/>
    </xf>
    <xf numFmtId="164" fontId="5" fillId="0" borderId="32" xfId="5" applyNumberFormat="1" applyBorder="1" applyAlignment="1">
      <alignment horizontal="left"/>
    </xf>
    <xf numFmtId="2" fontId="5" fillId="0" borderId="32" xfId="5" applyNumberFormat="1" applyBorder="1" applyAlignment="1">
      <alignment horizontal="left"/>
    </xf>
    <xf numFmtId="12" fontId="5" fillId="0" borderId="32" xfId="5" applyNumberFormat="1" applyBorder="1" applyAlignment="1">
      <alignment horizontal="left"/>
    </xf>
    <xf numFmtId="166" fontId="0" fillId="0" borderId="60" xfId="6" applyNumberFormat="1" applyFont="1" applyBorder="1"/>
    <xf numFmtId="166" fontId="0" fillId="0" borderId="61" xfId="6" applyNumberFormat="1" applyFont="1" applyBorder="1"/>
    <xf numFmtId="0" fontId="5" fillId="0" borderId="34" xfId="5" applyBorder="1" applyAlignment="1">
      <alignment horizontal="left"/>
    </xf>
    <xf numFmtId="0" fontId="16" fillId="0" borderId="19" xfId="5" applyFont="1" applyBorder="1" applyAlignment="1">
      <alignment horizontal="center" wrapText="1"/>
    </xf>
    <xf numFmtId="0" fontId="5" fillId="0" borderId="12" xfId="5" applyBorder="1" applyAlignment="1">
      <alignment horizontal="center" wrapText="1"/>
    </xf>
    <xf numFmtId="0" fontId="5" fillId="0" borderId="63" xfId="5" applyBorder="1"/>
    <xf numFmtId="0" fontId="5" fillId="0" borderId="7" xfId="5" applyBorder="1"/>
    <xf numFmtId="0" fontId="5" fillId="0" borderId="64" xfId="5" applyBorder="1"/>
    <xf numFmtId="0" fontId="5" fillId="0" borderId="45" xfId="5" applyBorder="1"/>
    <xf numFmtId="0" fontId="15" fillId="0" borderId="37" xfId="5" applyFont="1" applyBorder="1" applyAlignment="1">
      <alignment horizontal="right"/>
    </xf>
    <xf numFmtId="0" fontId="5" fillId="0" borderId="31" xfId="5" applyBorder="1"/>
    <xf numFmtId="0" fontId="15" fillId="0" borderId="65" xfId="5" applyFont="1" applyBorder="1" applyAlignment="1">
      <alignment horizontal="right"/>
    </xf>
    <xf numFmtId="0" fontId="5" fillId="0" borderId="33" xfId="5" applyBorder="1"/>
    <xf numFmtId="0" fontId="15" fillId="0" borderId="67" xfId="5" applyFont="1" applyBorder="1" applyAlignment="1">
      <alignment horizontal="right"/>
    </xf>
    <xf numFmtId="0" fontId="5" fillId="0" borderId="35" xfId="5" applyBorder="1"/>
    <xf numFmtId="0" fontId="15" fillId="0" borderId="0" xfId="5" applyFont="1" applyAlignment="1">
      <alignment horizontal="center"/>
    </xf>
    <xf numFmtId="0" fontId="15" fillId="0" borderId="13" xfId="5" applyFont="1" applyBorder="1" applyAlignment="1">
      <alignment horizontal="center"/>
    </xf>
    <xf numFmtId="0" fontId="5" fillId="3" borderId="15" xfId="5" applyFill="1" applyBorder="1"/>
    <xf numFmtId="9" fontId="0" fillId="0" borderId="20" xfId="6" applyFont="1" applyBorder="1"/>
    <xf numFmtId="9" fontId="0" fillId="0" borderId="11" xfId="6" applyFont="1" applyBorder="1"/>
    <xf numFmtId="9" fontId="0" fillId="0" borderId="28" xfId="6" applyFont="1" applyBorder="1"/>
    <xf numFmtId="9" fontId="0" fillId="0" borderId="0" xfId="6" applyFont="1" applyBorder="1"/>
    <xf numFmtId="9" fontId="5" fillId="0" borderId="0" xfId="5" applyNumberFormat="1"/>
    <xf numFmtId="166" fontId="5" fillId="0" borderId="0" xfId="5" applyNumberFormat="1"/>
    <xf numFmtId="9" fontId="5" fillId="0" borderId="28" xfId="5" applyNumberFormat="1" applyBorder="1"/>
    <xf numFmtId="9" fontId="5" fillId="0" borderId="29" xfId="5" applyNumberFormat="1" applyBorder="1"/>
    <xf numFmtId="166" fontId="5" fillId="0" borderId="11" xfId="5" applyNumberFormat="1" applyBorder="1"/>
    <xf numFmtId="9" fontId="5" fillId="0" borderId="19" xfId="5" applyNumberFormat="1" applyBorder="1"/>
    <xf numFmtId="9" fontId="5" fillId="0" borderId="20" xfId="5" applyNumberFormat="1" applyBorder="1"/>
    <xf numFmtId="166" fontId="5" fillId="0" borderId="20" xfId="5" applyNumberFormat="1" applyBorder="1"/>
    <xf numFmtId="166" fontId="5" fillId="0" borderId="28" xfId="5" applyNumberFormat="1" applyBorder="1"/>
    <xf numFmtId="164" fontId="5" fillId="0" borderId="11" xfId="5" applyNumberFormat="1" applyBorder="1"/>
    <xf numFmtId="164" fontId="5" fillId="0" borderId="0" xfId="5" applyNumberFormat="1"/>
    <xf numFmtId="9" fontId="0" fillId="0" borderId="0" xfId="6" applyFont="1"/>
    <xf numFmtId="164" fontId="5" fillId="0" borderId="13" xfId="5" applyNumberFormat="1" applyBorder="1"/>
    <xf numFmtId="166" fontId="0" fillId="0" borderId="0" xfId="6" applyNumberFormat="1" applyFont="1"/>
    <xf numFmtId="9" fontId="0" fillId="0" borderId="18" xfId="6" applyFont="1" applyBorder="1"/>
    <xf numFmtId="9" fontId="0" fillId="0" borderId="13" xfId="6" applyFont="1" applyBorder="1"/>
    <xf numFmtId="0" fontId="20" fillId="0" borderId="18" xfId="5" applyFont="1" applyBorder="1"/>
    <xf numFmtId="0" fontId="20" fillId="0" borderId="13" xfId="5" applyFont="1" applyBorder="1"/>
    <xf numFmtId="166" fontId="0" fillId="0" borderId="28" xfId="6" applyNumberFormat="1" applyFont="1" applyBorder="1"/>
    <xf numFmtId="166" fontId="0" fillId="0" borderId="11" xfId="6" applyNumberFormat="1" applyFont="1" applyBorder="1"/>
    <xf numFmtId="2" fontId="5" fillId="0" borderId="20" xfId="5" applyNumberFormat="1" applyBorder="1"/>
    <xf numFmtId="2" fontId="5" fillId="0" borderId="28" xfId="5" applyNumberFormat="1" applyBorder="1"/>
    <xf numFmtId="2" fontId="5" fillId="0" borderId="18" xfId="5" applyNumberFormat="1" applyBorder="1"/>
    <xf numFmtId="166" fontId="5" fillId="0" borderId="13" xfId="5" applyNumberFormat="1" applyBorder="1"/>
    <xf numFmtId="166" fontId="0" fillId="0" borderId="13" xfId="6" applyNumberFormat="1" applyFont="1" applyBorder="1"/>
    <xf numFmtId="0" fontId="20" fillId="0" borderId="20" xfId="5" applyFont="1" applyBorder="1"/>
    <xf numFmtId="0" fontId="5" fillId="0" borderId="10" xfId="5" applyBorder="1"/>
    <xf numFmtId="0" fontId="15" fillId="0" borderId="29" xfId="5" applyFont="1" applyBorder="1"/>
    <xf numFmtId="2" fontId="5" fillId="0" borderId="12" xfId="5" applyNumberFormat="1" applyBorder="1" applyAlignment="1">
      <alignment horizontal="center"/>
    </xf>
    <xf numFmtId="0" fontId="20" fillId="0" borderId="20" xfId="5" applyFont="1" applyBorder="1" applyAlignment="1">
      <alignment horizontal="right"/>
    </xf>
    <xf numFmtId="0" fontId="5" fillId="0" borderId="7" xfId="5" applyBorder="1" applyAlignment="1">
      <alignment horizontal="center"/>
    </xf>
    <xf numFmtId="0" fontId="5" fillId="0" borderId="18" xfId="5" applyBorder="1" applyAlignment="1">
      <alignment horizontal="right"/>
    </xf>
    <xf numFmtId="0" fontId="20" fillId="0" borderId="10" xfId="5" applyFont="1" applyBorder="1"/>
    <xf numFmtId="0" fontId="19" fillId="0" borderId="0" xfId="5" applyFont="1"/>
    <xf numFmtId="166" fontId="15" fillId="3" borderId="68" xfId="6" applyNumberFormat="1" applyFont="1" applyFill="1" applyBorder="1" applyAlignment="1">
      <alignment horizontal="right"/>
    </xf>
    <xf numFmtId="166" fontId="15" fillId="3" borderId="44" xfId="6" applyNumberFormat="1" applyFont="1" applyFill="1" applyBorder="1" applyAlignment="1">
      <alignment horizontal="right"/>
    </xf>
    <xf numFmtId="166" fontId="15" fillId="3" borderId="69" xfId="6" applyNumberFormat="1" applyFont="1" applyFill="1" applyBorder="1" applyAlignment="1">
      <alignment horizontal="right"/>
    </xf>
    <xf numFmtId="166" fontId="0" fillId="0" borderId="46" xfId="6" applyNumberFormat="1" applyFont="1" applyFill="1" applyBorder="1"/>
    <xf numFmtId="166" fontId="0" fillId="0" borderId="47" xfId="6" applyNumberFormat="1" applyFont="1" applyFill="1" applyBorder="1"/>
    <xf numFmtId="166" fontId="0" fillId="0" borderId="48" xfId="6" applyNumberFormat="1" applyFont="1" applyFill="1" applyBorder="1"/>
    <xf numFmtId="166" fontId="0" fillId="3" borderId="49" xfId="6" applyNumberFormat="1" applyFont="1" applyFill="1" applyBorder="1"/>
    <xf numFmtId="166" fontId="0" fillId="3" borderId="50" xfId="6" applyNumberFormat="1" applyFont="1" applyFill="1" applyBorder="1"/>
    <xf numFmtId="166" fontId="0" fillId="3" borderId="51" xfId="6" applyNumberFormat="1" applyFont="1" applyFill="1" applyBorder="1"/>
    <xf numFmtId="166" fontId="0" fillId="3" borderId="60" xfId="6" applyNumberFormat="1" applyFont="1" applyFill="1" applyBorder="1"/>
    <xf numFmtId="166" fontId="0" fillId="3" borderId="61" xfId="6" applyNumberFormat="1" applyFont="1" applyFill="1" applyBorder="1"/>
    <xf numFmtId="166" fontId="0" fillId="3" borderId="62" xfId="6" applyNumberFormat="1" applyFont="1" applyFill="1" applyBorder="1"/>
    <xf numFmtId="0" fontId="16" fillId="0" borderId="12" xfId="5" applyFont="1" applyBorder="1" applyAlignment="1">
      <alignment horizontal="center" wrapText="1"/>
    </xf>
    <xf numFmtId="0" fontId="16" fillId="0" borderId="20" xfId="5" applyFont="1" applyBorder="1" applyAlignment="1">
      <alignment horizontal="center" wrapText="1"/>
    </xf>
    <xf numFmtId="0" fontId="16" fillId="0" borderId="11" xfId="5" applyFont="1" applyBorder="1" applyAlignment="1">
      <alignment horizontal="center" wrapText="1"/>
    </xf>
    <xf numFmtId="0" fontId="5" fillId="0" borderId="63" xfId="5" applyBorder="1" applyAlignment="1">
      <alignment horizontal="center"/>
    </xf>
    <xf numFmtId="0" fontId="5" fillId="0" borderId="28" xfId="5" applyBorder="1" applyAlignment="1">
      <alignment horizontal="center"/>
    </xf>
    <xf numFmtId="0" fontId="5" fillId="0" borderId="29" xfId="5" applyBorder="1" applyAlignment="1">
      <alignment horizontal="center"/>
    </xf>
    <xf numFmtId="0" fontId="5" fillId="0" borderId="15" xfId="5" applyBorder="1" applyAlignment="1">
      <alignment horizontal="right"/>
    </xf>
    <xf numFmtId="0" fontId="27" fillId="0" borderId="0" xfId="5" applyFont="1"/>
    <xf numFmtId="166" fontId="11" fillId="0" borderId="5" xfId="0" applyNumberFormat="1" applyFont="1" applyBorder="1" applyAlignment="1" applyProtection="1">
      <alignment horizontal="right"/>
      <protection hidden="1"/>
    </xf>
    <xf numFmtId="0" fontId="4" fillId="0" borderId="0" xfId="7"/>
    <xf numFmtId="0" fontId="4" fillId="0" borderId="20" xfId="7" applyBorder="1"/>
    <xf numFmtId="0" fontId="4" fillId="0" borderId="11" xfId="7" applyBorder="1"/>
    <xf numFmtId="0" fontId="4" fillId="0" borderId="19" xfId="7" applyBorder="1"/>
    <xf numFmtId="0" fontId="4" fillId="0" borderId="28" xfId="7" applyBorder="1"/>
    <xf numFmtId="0" fontId="4" fillId="0" borderId="29" xfId="7" applyBorder="1"/>
    <xf numFmtId="166" fontId="0" fillId="0" borderId="30" xfId="8" applyNumberFormat="1" applyFont="1" applyBorder="1"/>
    <xf numFmtId="166" fontId="4" fillId="0" borderId="30" xfId="7" applyNumberFormat="1" applyBorder="1"/>
    <xf numFmtId="0" fontId="4" fillId="0" borderId="31" xfId="7" applyBorder="1" applyAlignment="1">
      <alignment horizontal="left"/>
    </xf>
    <xf numFmtId="166" fontId="0" fillId="0" borderId="32" xfId="8" applyNumberFormat="1" applyFont="1" applyBorder="1"/>
    <xf numFmtId="166" fontId="4" fillId="0" borderId="32" xfId="7" applyNumberFormat="1" applyBorder="1"/>
    <xf numFmtId="0" fontId="4" fillId="0" borderId="33" xfId="7" applyBorder="1" applyAlignment="1">
      <alignment horizontal="left"/>
    </xf>
    <xf numFmtId="165" fontId="4" fillId="0" borderId="33" xfId="7" applyNumberFormat="1" applyBorder="1" applyAlignment="1">
      <alignment horizontal="left"/>
    </xf>
    <xf numFmtId="164" fontId="4" fillId="0" borderId="33" xfId="7" applyNumberFormat="1" applyBorder="1" applyAlignment="1">
      <alignment horizontal="left"/>
    </xf>
    <xf numFmtId="2" fontId="4" fillId="0" borderId="33" xfId="7" applyNumberFormat="1" applyBorder="1" applyAlignment="1">
      <alignment horizontal="left"/>
    </xf>
    <xf numFmtId="0" fontId="4" fillId="0" borderId="0" xfId="7" applyAlignment="1">
      <alignment horizontal="right"/>
    </xf>
    <xf numFmtId="166" fontId="0" fillId="0" borderId="0" xfId="8" applyNumberFormat="1" applyFont="1" applyBorder="1"/>
    <xf numFmtId="12" fontId="4" fillId="0" borderId="33" xfId="7" applyNumberFormat="1" applyBorder="1" applyAlignment="1">
      <alignment horizontal="left"/>
    </xf>
    <xf numFmtId="166" fontId="0" fillId="0" borderId="34" xfId="8" applyNumberFormat="1" applyFont="1" applyBorder="1"/>
    <xf numFmtId="166" fontId="4" fillId="0" borderId="34" xfId="7" applyNumberFormat="1" applyBorder="1"/>
    <xf numFmtId="0" fontId="4" fillId="0" borderId="35" xfId="7" applyBorder="1" applyAlignment="1">
      <alignment horizontal="left"/>
    </xf>
    <xf numFmtId="0" fontId="4" fillId="0" borderId="0" xfId="7" applyAlignment="1">
      <alignment horizontal="center"/>
    </xf>
    <xf numFmtId="0" fontId="4" fillId="0" borderId="10" xfId="7" applyBorder="1" applyAlignment="1">
      <alignment horizontal="center" wrapText="1"/>
    </xf>
    <xf numFmtId="0" fontId="16" fillId="0" borderId="10" xfId="7" applyFont="1" applyBorder="1" applyAlignment="1">
      <alignment horizontal="center" wrapText="1"/>
    </xf>
    <xf numFmtId="0" fontId="4" fillId="0" borderId="20" xfId="7" applyBorder="1" applyProtection="1">
      <protection hidden="1"/>
    </xf>
    <xf numFmtId="0" fontId="4" fillId="0" borderId="11" xfId="7" applyBorder="1" applyAlignment="1">
      <alignment horizontal="right"/>
    </xf>
    <xf numFmtId="0" fontId="4" fillId="0" borderId="18" xfId="7" applyBorder="1"/>
    <xf numFmtId="0" fontId="4" fillId="0" borderId="13" xfId="7" applyBorder="1"/>
    <xf numFmtId="0" fontId="15" fillId="0" borderId="17" xfId="7" applyFont="1" applyBorder="1"/>
    <xf numFmtId="0" fontId="4" fillId="0" borderId="15" xfId="7" applyBorder="1"/>
    <xf numFmtId="0" fontId="19" fillId="0" borderId="36" xfId="7" applyFont="1" applyBorder="1"/>
    <xf numFmtId="0" fontId="19" fillId="0" borderId="37" xfId="7" applyFont="1" applyBorder="1"/>
    <xf numFmtId="0" fontId="4" fillId="0" borderId="37" xfId="7" applyBorder="1" applyAlignment="1">
      <alignment horizontal="left"/>
    </xf>
    <xf numFmtId="0" fontId="4" fillId="0" borderId="37" xfId="7" applyBorder="1" applyAlignment="1">
      <alignment horizontal="right"/>
    </xf>
    <xf numFmtId="0" fontId="19" fillId="0" borderId="31" xfId="7" applyFont="1" applyBorder="1"/>
    <xf numFmtId="0" fontId="4" fillId="0" borderId="38" xfId="7" applyBorder="1"/>
    <xf numFmtId="0" fontId="4" fillId="0" borderId="39" xfId="7" applyBorder="1"/>
    <xf numFmtId="0" fontId="20" fillId="0" borderId="38" xfId="7" applyFont="1" applyBorder="1" applyAlignment="1">
      <alignment horizontal="left"/>
    </xf>
    <xf numFmtId="166" fontId="4" fillId="0" borderId="39" xfId="7" applyNumberFormat="1" applyBorder="1" applyAlignment="1" applyProtection="1">
      <alignment horizontal="center"/>
      <protection hidden="1"/>
    </xf>
    <xf numFmtId="0" fontId="15" fillId="0" borderId="39" xfId="7" applyFont="1" applyBorder="1" applyAlignment="1">
      <alignment horizontal="right"/>
    </xf>
    <xf numFmtId="0" fontId="4" fillId="0" borderId="40" xfId="7" applyBorder="1"/>
    <xf numFmtId="0" fontId="20" fillId="0" borderId="13" xfId="7" applyFont="1" applyBorder="1" applyAlignment="1">
      <alignment horizontal="left"/>
    </xf>
    <xf numFmtId="166" fontId="4" fillId="0" borderId="13" xfId="7" applyNumberFormat="1" applyBorder="1" applyAlignment="1" applyProtection="1">
      <alignment horizontal="center"/>
      <protection hidden="1"/>
    </xf>
    <xf numFmtId="0" fontId="15" fillId="0" borderId="13" xfId="7" applyFont="1" applyBorder="1" applyAlignment="1">
      <alignment horizontal="right"/>
    </xf>
    <xf numFmtId="0" fontId="4" fillId="0" borderId="17" xfId="7" applyBorder="1"/>
    <xf numFmtId="166" fontId="21" fillId="0" borderId="0" xfId="7" applyNumberFormat="1" applyFont="1" applyAlignment="1">
      <alignment horizontal="left"/>
    </xf>
    <xf numFmtId="0" fontId="15" fillId="0" borderId="45" xfId="7" applyFont="1" applyBorder="1" applyAlignment="1">
      <alignment horizontal="right"/>
    </xf>
    <xf numFmtId="166" fontId="0" fillId="0" borderId="46" xfId="8" applyNumberFormat="1" applyFont="1" applyBorder="1"/>
    <xf numFmtId="166" fontId="0" fillId="0" borderId="47" xfId="8" applyNumberFormat="1" applyFont="1" applyBorder="1"/>
    <xf numFmtId="0" fontId="4" fillId="0" borderId="30" xfId="7" applyBorder="1" applyAlignment="1">
      <alignment horizontal="left"/>
    </xf>
    <xf numFmtId="166" fontId="0" fillId="0" borderId="49" xfId="8" applyNumberFormat="1" applyFont="1" applyBorder="1"/>
    <xf numFmtId="166" fontId="0" fillId="0" borderId="50" xfId="8" applyNumberFormat="1" applyFont="1" applyBorder="1"/>
    <xf numFmtId="0" fontId="4" fillId="0" borderId="32" xfId="7" applyBorder="1" applyAlignment="1">
      <alignment horizontal="left"/>
    </xf>
    <xf numFmtId="165" fontId="4" fillId="0" borderId="32" xfId="7" applyNumberFormat="1" applyBorder="1" applyAlignment="1">
      <alignment horizontal="left"/>
    </xf>
    <xf numFmtId="164" fontId="4" fillId="0" borderId="32" xfId="7" applyNumberFormat="1" applyBorder="1" applyAlignment="1">
      <alignment horizontal="left"/>
    </xf>
    <xf numFmtId="2" fontId="4" fillId="0" borderId="32" xfId="7" applyNumberFormat="1" applyBorder="1" applyAlignment="1">
      <alignment horizontal="left"/>
    </xf>
    <xf numFmtId="12" fontId="4" fillId="0" borderId="32" xfId="7" applyNumberFormat="1" applyBorder="1" applyAlignment="1">
      <alignment horizontal="left"/>
    </xf>
    <xf numFmtId="166" fontId="0" fillId="0" borderId="60" xfId="8" applyNumberFormat="1" applyFont="1" applyBorder="1"/>
    <xf numFmtId="166" fontId="0" fillId="0" borderId="61" xfId="8" applyNumberFormat="1" applyFont="1" applyBorder="1"/>
    <xf numFmtId="0" fontId="4" fillId="0" borderId="34" xfId="7" applyBorder="1" applyAlignment="1">
      <alignment horizontal="left"/>
    </xf>
    <xf numFmtId="0" fontId="16" fillId="0" borderId="19" xfId="7" applyFont="1" applyBorder="1" applyAlignment="1">
      <alignment horizontal="center" wrapText="1"/>
    </xf>
    <xf numFmtId="0" fontId="4" fillId="0" borderId="12" xfId="7" applyBorder="1" applyAlignment="1">
      <alignment horizontal="center" wrapText="1"/>
    </xf>
    <xf numFmtId="0" fontId="4" fillId="0" borderId="63" xfId="7" applyBorder="1"/>
    <xf numFmtId="0" fontId="4" fillId="0" borderId="7" xfId="7" applyBorder="1"/>
    <xf numFmtId="0" fontId="4" fillId="0" borderId="64" xfId="7" applyBorder="1"/>
    <xf numFmtId="0" fontId="4" fillId="0" borderId="45" xfId="7" applyBorder="1"/>
    <xf numFmtId="0" fontId="15" fillId="0" borderId="37" xfId="7" applyFont="1" applyBorder="1" applyAlignment="1">
      <alignment horizontal="right"/>
    </xf>
    <xf numFmtId="0" fontId="4" fillId="0" borderId="31" xfId="7" applyBorder="1"/>
    <xf numFmtId="0" fontId="15" fillId="0" borderId="65" xfId="7" applyFont="1" applyBorder="1" applyAlignment="1">
      <alignment horizontal="right"/>
    </xf>
    <xf numFmtId="0" fontId="4" fillId="0" borderId="33" xfId="7" applyBorder="1"/>
    <xf numFmtId="0" fontId="15" fillId="0" borderId="67" xfId="7" applyFont="1" applyBorder="1" applyAlignment="1">
      <alignment horizontal="right"/>
    </xf>
    <xf numFmtId="0" fontId="4" fillId="0" borderId="35" xfId="7" applyBorder="1"/>
    <xf numFmtId="0" fontId="15" fillId="0" borderId="0" xfId="7" applyFont="1" applyAlignment="1">
      <alignment horizontal="center"/>
    </xf>
    <xf numFmtId="0" fontId="15" fillId="0" borderId="13" xfId="7" applyFont="1" applyBorder="1" applyAlignment="1">
      <alignment horizontal="center"/>
    </xf>
    <xf numFmtId="0" fontId="4" fillId="3" borderId="15" xfId="7" applyFill="1" applyBorder="1"/>
    <xf numFmtId="9" fontId="0" fillId="0" borderId="20" xfId="8" applyFont="1" applyBorder="1"/>
    <xf numFmtId="9" fontId="0" fillId="0" borderId="11" xfId="8" applyFont="1" applyBorder="1"/>
    <xf numFmtId="9" fontId="0" fillId="0" borderId="28" xfId="8" applyFont="1" applyBorder="1"/>
    <xf numFmtId="9" fontId="0" fillId="0" borderId="0" xfId="8" applyFont="1" applyBorder="1"/>
    <xf numFmtId="9" fontId="4" fillId="0" borderId="0" xfId="7" applyNumberFormat="1"/>
    <xf numFmtId="166" fontId="4" fillId="0" borderId="0" xfId="7" applyNumberFormat="1"/>
    <xf numFmtId="9" fontId="4" fillId="0" borderId="28" xfId="7" applyNumberFormat="1" applyBorder="1"/>
    <xf numFmtId="9" fontId="4" fillId="0" borderId="29" xfId="7" applyNumberFormat="1" applyBorder="1"/>
    <xf numFmtId="166" fontId="4" fillId="0" borderId="11" xfId="7" applyNumberFormat="1" applyBorder="1"/>
    <xf numFmtId="9" fontId="4" fillId="0" borderId="19" xfId="7" applyNumberFormat="1" applyBorder="1"/>
    <xf numFmtId="9" fontId="4" fillId="0" borderId="20" xfId="7" applyNumberFormat="1" applyBorder="1"/>
    <xf numFmtId="166" fontId="4" fillId="0" borderId="20" xfId="7" applyNumberFormat="1" applyBorder="1"/>
    <xf numFmtId="166" fontId="4" fillId="0" borderId="28" xfId="7" applyNumberFormat="1" applyBorder="1"/>
    <xf numFmtId="164" fontId="4" fillId="0" borderId="11" xfId="7" applyNumberFormat="1" applyBorder="1"/>
    <xf numFmtId="164" fontId="4" fillId="0" borderId="0" xfId="7" applyNumberFormat="1"/>
    <xf numFmtId="9" fontId="0" fillId="0" borderId="0" xfId="8" applyFont="1"/>
    <xf numFmtId="164" fontId="4" fillId="0" borderId="13" xfId="7" applyNumberFormat="1" applyBorder="1"/>
    <xf numFmtId="166" fontId="0" fillId="0" borderId="0" xfId="8" applyNumberFormat="1" applyFont="1"/>
    <xf numFmtId="9" fontId="0" fillId="0" borderId="18" xfId="8" applyFont="1" applyBorder="1"/>
    <xf numFmtId="9" fontId="0" fillId="0" borderId="13" xfId="8" applyFont="1" applyBorder="1"/>
    <xf numFmtId="0" fontId="20" fillId="0" borderId="18" xfId="7" applyFont="1" applyBorder="1"/>
    <xf numFmtId="0" fontId="20" fillId="0" borderId="13" xfId="7" applyFont="1" applyBorder="1"/>
    <xf numFmtId="166" fontId="0" fillId="0" borderId="28" xfId="8" applyNumberFormat="1" applyFont="1" applyBorder="1"/>
    <xf numFmtId="166" fontId="0" fillId="0" borderId="11" xfId="8" applyNumberFormat="1" applyFont="1" applyBorder="1"/>
    <xf numFmtId="2" fontId="4" fillId="0" borderId="20" xfId="7" applyNumberFormat="1" applyBorder="1"/>
    <xf numFmtId="2" fontId="4" fillId="0" borderId="28" xfId="7" applyNumberFormat="1" applyBorder="1"/>
    <xf numFmtId="2" fontId="4" fillId="0" borderId="18" xfId="7" applyNumberFormat="1" applyBorder="1"/>
    <xf numFmtId="166" fontId="4" fillId="0" borderId="13" xfId="7" applyNumberFormat="1" applyBorder="1"/>
    <xf numFmtId="166" fontId="0" fillId="0" borderId="13" xfId="8" applyNumberFormat="1" applyFont="1" applyBorder="1"/>
    <xf numFmtId="0" fontId="20" fillId="0" borderId="20" xfId="7" applyFont="1" applyBorder="1"/>
    <xf numFmtId="0" fontId="4" fillId="0" borderId="10" xfId="7" applyBorder="1"/>
    <xf numFmtId="0" fontId="15" fillId="0" borderId="29" xfId="7" applyFont="1" applyBorder="1"/>
    <xf numFmtId="2" fontId="4" fillId="0" borderId="12" xfId="7" applyNumberFormat="1" applyBorder="1" applyAlignment="1">
      <alignment horizontal="center"/>
    </xf>
    <xf numFmtId="0" fontId="20" fillId="0" borderId="20" xfId="7" applyFont="1" applyBorder="1" applyAlignment="1">
      <alignment horizontal="right"/>
    </xf>
    <xf numFmtId="0" fontId="4" fillId="0" borderId="7" xfId="7" applyBorder="1" applyAlignment="1">
      <alignment horizontal="center"/>
    </xf>
    <xf numFmtId="0" fontId="4" fillId="0" borderId="18" xfId="7" applyBorder="1" applyAlignment="1">
      <alignment horizontal="right"/>
    </xf>
    <xf numFmtId="0" fontId="20" fillId="0" borderId="10" xfId="7" applyFont="1" applyBorder="1"/>
    <xf numFmtId="0" fontId="19" fillId="0" borderId="0" xfId="7" applyFont="1"/>
    <xf numFmtId="166" fontId="15" fillId="3" borderId="68" xfId="8" applyNumberFormat="1" applyFont="1" applyFill="1" applyBorder="1" applyAlignment="1">
      <alignment horizontal="right"/>
    </xf>
    <xf numFmtId="166" fontId="15" fillId="3" borderId="44" xfId="8" applyNumberFormat="1" applyFont="1" applyFill="1" applyBorder="1" applyAlignment="1">
      <alignment horizontal="right"/>
    </xf>
    <xf numFmtId="166" fontId="15" fillId="3" borderId="69" xfId="8" applyNumberFormat="1" applyFont="1" applyFill="1" applyBorder="1" applyAlignment="1">
      <alignment horizontal="right"/>
    </xf>
    <xf numFmtId="166" fontId="0" fillId="0" borderId="46" xfId="8" applyNumberFormat="1" applyFont="1" applyFill="1" applyBorder="1"/>
    <xf numFmtId="166" fontId="0" fillId="0" borderId="47" xfId="8" applyNumberFormat="1" applyFont="1" applyFill="1" applyBorder="1"/>
    <xf numFmtId="166" fontId="0" fillId="0" borderId="48" xfId="8" applyNumberFormat="1" applyFont="1" applyFill="1" applyBorder="1"/>
    <xf numFmtId="166" fontId="0" fillId="3" borderId="49" xfId="8" applyNumberFormat="1" applyFont="1" applyFill="1" applyBorder="1"/>
    <xf numFmtId="166" fontId="0" fillId="3" borderId="50" xfId="8" applyNumberFormat="1" applyFont="1" applyFill="1" applyBorder="1"/>
    <xf numFmtId="166" fontId="0" fillId="3" borderId="51" xfId="8" applyNumberFormat="1" applyFont="1" applyFill="1" applyBorder="1"/>
    <xf numFmtId="166" fontId="0" fillId="3" borderId="60" xfId="8" applyNumberFormat="1" applyFont="1" applyFill="1" applyBorder="1"/>
    <xf numFmtId="166" fontId="0" fillId="3" borderId="61" xfId="8" applyNumberFormat="1" applyFont="1" applyFill="1" applyBorder="1"/>
    <xf numFmtId="166" fontId="0" fillId="3" borderId="62" xfId="8" applyNumberFormat="1" applyFont="1" applyFill="1" applyBorder="1"/>
    <xf numFmtId="0" fontId="16" fillId="0" borderId="12" xfId="7" applyFont="1" applyBorder="1" applyAlignment="1">
      <alignment horizontal="center" wrapText="1"/>
    </xf>
    <xf numFmtId="0" fontId="16" fillId="0" borderId="20" xfId="7" applyFont="1" applyBorder="1" applyAlignment="1">
      <alignment horizontal="center" wrapText="1"/>
    </xf>
    <xf numFmtId="0" fontId="16" fillId="0" borderId="11" xfId="7" applyFont="1" applyBorder="1" applyAlignment="1">
      <alignment horizontal="center" wrapText="1"/>
    </xf>
    <xf numFmtId="0" fontId="4" fillId="0" borderId="63" xfId="7" applyBorder="1" applyAlignment="1">
      <alignment horizontal="center"/>
    </xf>
    <xf numFmtId="0" fontId="4" fillId="0" borderId="28" xfId="7" applyBorder="1" applyAlignment="1">
      <alignment horizontal="center"/>
    </xf>
    <xf numFmtId="0" fontId="4" fillId="0" borderId="29" xfId="7" applyBorder="1" applyAlignment="1">
      <alignment horizontal="center"/>
    </xf>
    <xf numFmtId="0" fontId="4" fillId="0" borderId="15" xfId="7" applyBorder="1" applyAlignment="1">
      <alignment horizontal="right"/>
    </xf>
    <xf numFmtId="0" fontId="27" fillId="0" borderId="0" xfId="7" applyFont="1"/>
    <xf numFmtId="0" fontId="3" fillId="0" borderId="0" xfId="9"/>
    <xf numFmtId="0" fontId="3" fillId="0" borderId="20" xfId="9" applyBorder="1"/>
    <xf numFmtId="0" fontId="3" fillId="0" borderId="11" xfId="9" applyBorder="1"/>
    <xf numFmtId="0" fontId="3" fillId="0" borderId="19" xfId="9" applyBorder="1"/>
    <xf numFmtId="0" fontId="3" fillId="0" borderId="28" xfId="9" applyBorder="1"/>
    <xf numFmtId="0" fontId="3" fillId="0" borderId="29" xfId="9" applyBorder="1"/>
    <xf numFmtId="166" fontId="0" fillId="0" borderId="30" xfId="10" applyNumberFormat="1" applyFont="1" applyBorder="1"/>
    <xf numFmtId="166" fontId="3" fillId="0" borderId="30" xfId="9" applyNumberFormat="1" applyBorder="1"/>
    <xf numFmtId="0" fontId="3" fillId="0" borderId="31" xfId="9" applyBorder="1" applyAlignment="1">
      <alignment horizontal="left"/>
    </xf>
    <xf numFmtId="166" fontId="0" fillId="0" borderId="32" xfId="10" applyNumberFormat="1" applyFont="1" applyBorder="1"/>
    <xf numFmtId="166" fontId="3" fillId="0" borderId="32" xfId="9" applyNumberFormat="1" applyBorder="1"/>
    <xf numFmtId="0" fontId="3" fillId="0" borderId="33" xfId="9" applyBorder="1" applyAlignment="1">
      <alignment horizontal="left"/>
    </xf>
    <xf numFmtId="165" fontId="3" fillId="0" borderId="33" xfId="9" applyNumberFormat="1" applyBorder="1" applyAlignment="1">
      <alignment horizontal="left"/>
    </xf>
    <xf numFmtId="164" fontId="3" fillId="0" borderId="33" xfId="9" applyNumberFormat="1" applyBorder="1" applyAlignment="1">
      <alignment horizontal="left"/>
    </xf>
    <xf numFmtId="2" fontId="3" fillId="0" borderId="33" xfId="9" applyNumberFormat="1" applyBorder="1" applyAlignment="1">
      <alignment horizontal="left"/>
    </xf>
    <xf numFmtId="0" fontId="3" fillId="0" borderId="0" xfId="9" applyAlignment="1">
      <alignment horizontal="right"/>
    </xf>
    <xf numFmtId="166" fontId="0" fillId="0" borderId="0" xfId="10" applyNumberFormat="1" applyFont="1" applyBorder="1"/>
    <xf numFmtId="12" fontId="3" fillId="0" borderId="33" xfId="9" applyNumberFormat="1" applyBorder="1" applyAlignment="1">
      <alignment horizontal="left"/>
    </xf>
    <xf numFmtId="166" fontId="0" fillId="0" borderId="34" xfId="10" applyNumberFormat="1" applyFont="1" applyBorder="1"/>
    <xf numFmtId="166" fontId="3" fillId="0" borderId="34" xfId="9" applyNumberFormat="1" applyBorder="1"/>
    <xf numFmtId="0" fontId="3" fillId="0" borderId="35" xfId="9" applyBorder="1" applyAlignment="1">
      <alignment horizontal="left"/>
    </xf>
    <xf numFmtId="0" fontId="3" fillId="0" borderId="0" xfId="9" applyAlignment="1">
      <alignment horizontal="center"/>
    </xf>
    <xf numFmtId="0" fontId="3" fillId="0" borderId="10" xfId="9" applyBorder="1" applyAlignment="1">
      <alignment horizontal="center" wrapText="1"/>
    </xf>
    <xf numFmtId="0" fontId="16" fillId="0" borderId="10" xfId="9" applyFont="1" applyBorder="1" applyAlignment="1">
      <alignment horizontal="center" wrapText="1"/>
    </xf>
    <xf numFmtId="0" fontId="3" fillId="0" borderId="20" xfId="9" applyBorder="1" applyProtection="1">
      <protection hidden="1"/>
    </xf>
    <xf numFmtId="0" fontId="3" fillId="0" borderId="11" xfId="9" applyBorder="1" applyAlignment="1">
      <alignment horizontal="right"/>
    </xf>
    <xf numFmtId="0" fontId="3" fillId="0" borderId="18" xfId="9" applyBorder="1"/>
    <xf numFmtId="0" fontId="3" fillId="0" borderId="13" xfId="9" applyBorder="1"/>
    <xf numFmtId="0" fontId="15" fillId="0" borderId="17" xfId="9" applyFont="1" applyBorder="1"/>
    <xf numFmtId="0" fontId="3" fillId="0" borderId="15" xfId="9" applyBorder="1"/>
    <xf numFmtId="0" fontId="19" fillId="0" borderId="36" xfId="9" applyFont="1" applyBorder="1"/>
    <xf numFmtId="0" fontId="19" fillId="0" borderId="37" xfId="9" applyFont="1" applyBorder="1"/>
    <xf numFmtId="0" fontId="3" fillId="0" borderId="37" xfId="9" applyBorder="1" applyAlignment="1">
      <alignment horizontal="left"/>
    </xf>
    <xf numFmtId="0" fontId="3" fillId="0" borderId="37" xfId="9" applyBorder="1" applyAlignment="1">
      <alignment horizontal="right"/>
    </xf>
    <xf numFmtId="0" fontId="19" fillId="0" borderId="31" xfId="9" applyFont="1" applyBorder="1"/>
    <xf numFmtId="0" fontId="3" fillId="0" borderId="38" xfId="9" applyBorder="1"/>
    <xf numFmtId="0" fontId="3" fillId="0" borderId="39" xfId="9" applyBorder="1"/>
    <xf numFmtId="0" fontId="20" fillId="0" borderId="38" xfId="9" applyFont="1" applyBorder="1" applyAlignment="1">
      <alignment horizontal="left"/>
    </xf>
    <xf numFmtId="166" fontId="3" fillId="0" borderId="39" xfId="9" applyNumberFormat="1" applyBorder="1" applyAlignment="1" applyProtection="1">
      <alignment horizontal="center"/>
      <protection hidden="1"/>
    </xf>
    <xf numFmtId="0" fontId="15" fillId="0" borderId="39" xfId="9" applyFont="1" applyBorder="1" applyAlignment="1">
      <alignment horizontal="right"/>
    </xf>
    <xf numFmtId="0" fontId="3" fillId="0" borderId="40" xfId="9" applyBorder="1"/>
    <xf numFmtId="0" fontId="20" fillId="0" borderId="13" xfId="9" applyFont="1" applyBorder="1" applyAlignment="1">
      <alignment horizontal="left"/>
    </xf>
    <xf numFmtId="166" fontId="3" fillId="0" borderId="13" xfId="9" applyNumberFormat="1" applyBorder="1" applyAlignment="1" applyProtection="1">
      <alignment horizontal="center"/>
      <protection hidden="1"/>
    </xf>
    <xf numFmtId="0" fontId="15" fillId="0" borderId="13" xfId="9" applyFont="1" applyBorder="1" applyAlignment="1">
      <alignment horizontal="right"/>
    </xf>
    <xf numFmtId="0" fontId="3" fillId="0" borderId="17" xfId="9" applyBorder="1"/>
    <xf numFmtId="166" fontId="21" fillId="0" borderId="0" xfId="9" applyNumberFormat="1" applyFont="1" applyAlignment="1">
      <alignment horizontal="left"/>
    </xf>
    <xf numFmtId="0" fontId="15" fillId="0" borderId="45" xfId="9" applyFont="1" applyBorder="1" applyAlignment="1">
      <alignment horizontal="right"/>
    </xf>
    <xf numFmtId="166" fontId="0" fillId="0" borderId="46" xfId="10" applyNumberFormat="1" applyFont="1" applyBorder="1"/>
    <xf numFmtId="166" fontId="0" fillId="0" borderId="47" xfId="10" applyNumberFormat="1" applyFont="1" applyBorder="1"/>
    <xf numFmtId="0" fontId="3" fillId="0" borderId="30" xfId="9" applyBorder="1" applyAlignment="1">
      <alignment horizontal="left"/>
    </xf>
    <xf numFmtId="166" fontId="0" fillId="0" borderId="49" xfId="10" applyNumberFormat="1" applyFont="1" applyBorder="1"/>
    <xf numFmtId="166" fontId="0" fillId="0" borderId="50" xfId="10" applyNumberFormat="1" applyFont="1" applyBorder="1"/>
    <xf numFmtId="0" fontId="3" fillId="0" borderId="32" xfId="9" applyBorder="1" applyAlignment="1">
      <alignment horizontal="left"/>
    </xf>
    <xf numFmtId="165" fontId="3" fillId="0" borderId="32" xfId="9" applyNumberFormat="1" applyBorder="1" applyAlignment="1">
      <alignment horizontal="left"/>
    </xf>
    <xf numFmtId="164" fontId="3" fillId="0" borderId="32" xfId="9" applyNumberFormat="1" applyBorder="1" applyAlignment="1">
      <alignment horizontal="left"/>
    </xf>
    <xf numFmtId="2" fontId="3" fillId="0" borderId="32" xfId="9" applyNumberFormat="1" applyBorder="1" applyAlignment="1">
      <alignment horizontal="left"/>
    </xf>
    <xf numFmtId="12" fontId="3" fillId="0" borderId="32" xfId="9" applyNumberFormat="1" applyBorder="1" applyAlignment="1">
      <alignment horizontal="left"/>
    </xf>
    <xf numFmtId="166" fontId="0" fillId="0" borderId="60" xfId="10" applyNumberFormat="1" applyFont="1" applyBorder="1"/>
    <xf numFmtId="166" fontId="0" fillId="0" borderId="61" xfId="10" applyNumberFormat="1" applyFont="1" applyBorder="1"/>
    <xf numFmtId="0" fontId="3" fillId="0" borderId="34" xfId="9" applyBorder="1" applyAlignment="1">
      <alignment horizontal="left"/>
    </xf>
    <xf numFmtId="0" fontId="16" fillId="0" borderId="19" xfId="9" applyFont="1" applyBorder="1" applyAlignment="1">
      <alignment horizontal="center" wrapText="1"/>
    </xf>
    <xf numFmtId="0" fontId="3" fillId="0" borderId="12" xfId="9" applyBorder="1" applyAlignment="1">
      <alignment horizontal="center" wrapText="1"/>
    </xf>
    <xf numFmtId="0" fontId="3" fillId="0" borderId="63" xfId="9" applyBorder="1"/>
    <xf numFmtId="0" fontId="3" fillId="0" borderId="7" xfId="9" applyBorder="1"/>
    <xf numFmtId="0" fontId="3" fillId="0" borderId="64" xfId="9" applyBorder="1"/>
    <xf numFmtId="0" fontId="3" fillId="0" borderId="45" xfId="9" applyBorder="1"/>
    <xf numFmtId="0" fontId="15" fillId="0" borderId="37" xfId="9" applyFont="1" applyBorder="1" applyAlignment="1">
      <alignment horizontal="right"/>
    </xf>
    <xf numFmtId="0" fontId="3" fillId="0" borderId="31" xfId="9" applyBorder="1"/>
    <xf numFmtId="0" fontId="15" fillId="0" borderId="65" xfId="9" applyFont="1" applyBorder="1" applyAlignment="1">
      <alignment horizontal="right"/>
    </xf>
    <xf numFmtId="0" fontId="3" fillId="0" borderId="33" xfId="9" applyBorder="1"/>
    <xf numFmtId="0" fontId="15" fillId="0" borderId="67" xfId="9" applyFont="1" applyBorder="1" applyAlignment="1">
      <alignment horizontal="right"/>
    </xf>
    <xf numFmtId="0" fontId="3" fillId="0" borderId="35" xfId="9" applyBorder="1"/>
    <xf numFmtId="0" fontId="15" fillId="0" borderId="0" xfId="9" applyFont="1" applyAlignment="1">
      <alignment horizontal="center"/>
    </xf>
    <xf numFmtId="0" fontId="15" fillId="0" borderId="13" xfId="9" applyFont="1" applyBorder="1" applyAlignment="1">
      <alignment horizontal="center"/>
    </xf>
    <xf numFmtId="0" fontId="3" fillId="3" borderId="15" xfId="9" applyFill="1" applyBorder="1"/>
    <xf numFmtId="9" fontId="0" fillId="0" borderId="20" xfId="10" applyFont="1" applyBorder="1"/>
    <xf numFmtId="9" fontId="0" fillId="0" borderId="11" xfId="10" applyFont="1" applyBorder="1"/>
    <xf numFmtId="9" fontId="0" fillId="0" borderId="28" xfId="10" applyFont="1" applyBorder="1"/>
    <xf numFmtId="9" fontId="0" fillId="0" borderId="0" xfId="10" applyFont="1" applyBorder="1"/>
    <xf numFmtId="9" fontId="3" fillId="0" borderId="0" xfId="9" applyNumberFormat="1"/>
    <xf numFmtId="166" fontId="3" fillId="0" borderId="0" xfId="9" applyNumberFormat="1"/>
    <xf numFmtId="9" fontId="3" fillId="0" borderId="28" xfId="9" applyNumberFormat="1" applyBorder="1"/>
    <xf numFmtId="9" fontId="3" fillId="0" borderId="29" xfId="9" applyNumberFormat="1" applyBorder="1"/>
    <xf numFmtId="166" fontId="3" fillId="0" borderId="11" xfId="9" applyNumberFormat="1" applyBorder="1"/>
    <xf numFmtId="9" fontId="3" fillId="0" borderId="19" xfId="9" applyNumberFormat="1" applyBorder="1"/>
    <xf numFmtId="9" fontId="3" fillId="0" borderId="20" xfId="9" applyNumberFormat="1" applyBorder="1"/>
    <xf numFmtId="166" fontId="3" fillId="0" borderId="20" xfId="9" applyNumberFormat="1" applyBorder="1"/>
    <xf numFmtId="166" fontId="3" fillId="0" borderId="28" xfId="9" applyNumberFormat="1" applyBorder="1"/>
    <xf numFmtId="164" fontId="3" fillId="0" borderId="11" xfId="9" applyNumberFormat="1" applyBorder="1"/>
    <xf numFmtId="164" fontId="3" fillId="0" borderId="0" xfId="9" applyNumberFormat="1"/>
    <xf numFmtId="9" fontId="0" fillId="0" borderId="0" xfId="10" applyFont="1"/>
    <xf numFmtId="164" fontId="3" fillId="0" borderId="13" xfId="9" applyNumberFormat="1" applyBorder="1"/>
    <xf numFmtId="166" fontId="0" fillId="0" borderId="0" xfId="10" applyNumberFormat="1" applyFont="1"/>
    <xf numFmtId="9" fontId="0" fillId="0" borderId="18" xfId="10" applyFont="1" applyBorder="1"/>
    <xf numFmtId="9" fontId="0" fillId="0" borderId="13" xfId="10" applyFont="1" applyBorder="1"/>
    <xf numFmtId="0" fontId="20" fillId="0" borderId="18" xfId="9" applyFont="1" applyBorder="1"/>
    <xf numFmtId="0" fontId="20" fillId="0" borderId="13" xfId="9" applyFont="1" applyBorder="1"/>
    <xf numFmtId="166" fontId="0" fillId="0" borderId="28" xfId="10" applyNumberFormat="1" applyFont="1" applyBorder="1"/>
    <xf numFmtId="166" fontId="0" fillId="0" borderId="11" xfId="10" applyNumberFormat="1" applyFont="1" applyBorder="1"/>
    <xf numFmtId="2" fontId="3" fillId="0" borderId="20" xfId="9" applyNumberFormat="1" applyBorder="1"/>
    <xf numFmtId="2" fontId="3" fillId="0" borderId="28" xfId="9" applyNumberFormat="1" applyBorder="1"/>
    <xf numFmtId="2" fontId="3" fillId="0" borderId="18" xfId="9" applyNumberFormat="1" applyBorder="1"/>
    <xf numFmtId="166" fontId="3" fillId="0" borderId="13" xfId="9" applyNumberFormat="1" applyBorder="1"/>
    <xf numFmtId="166" fontId="0" fillId="0" borderId="13" xfId="10" applyNumberFormat="1" applyFont="1" applyBorder="1"/>
    <xf numFmtId="0" fontId="20" fillId="0" borderId="20" xfId="9" applyFont="1" applyBorder="1"/>
    <xf numFmtId="0" fontId="3" fillId="0" borderId="10" xfId="9" applyBorder="1"/>
    <xf numFmtId="0" fontId="15" fillId="0" borderId="29" xfId="9" applyFont="1" applyBorder="1"/>
    <xf numFmtId="2" fontId="3" fillId="0" borderId="12" xfId="9" applyNumberFormat="1" applyBorder="1" applyAlignment="1">
      <alignment horizontal="center"/>
    </xf>
    <xf numFmtId="0" fontId="20" fillId="0" borderId="20" xfId="9" applyFont="1" applyBorder="1" applyAlignment="1">
      <alignment horizontal="right"/>
    </xf>
    <xf numFmtId="0" fontId="3" fillId="0" borderId="7" xfId="9" applyBorder="1" applyAlignment="1">
      <alignment horizontal="center"/>
    </xf>
    <xf numFmtId="0" fontId="3" fillId="0" borderId="18" xfId="9" applyBorder="1" applyAlignment="1">
      <alignment horizontal="right"/>
    </xf>
    <xf numFmtId="0" fontId="20" fillId="0" borderId="10" xfId="9" applyFont="1" applyBorder="1"/>
    <xf numFmtId="0" fontId="19" fillId="0" borderId="0" xfId="9" applyFont="1"/>
    <xf numFmtId="166" fontId="15" fillId="3" borderId="68" xfId="10" applyNumberFormat="1" applyFont="1" applyFill="1" applyBorder="1" applyAlignment="1">
      <alignment horizontal="right"/>
    </xf>
    <xf numFmtId="166" fontId="15" fillId="3" borderId="44" xfId="10" applyNumberFormat="1" applyFont="1" applyFill="1" applyBorder="1" applyAlignment="1">
      <alignment horizontal="right"/>
    </xf>
    <xf numFmtId="166" fontId="15" fillId="3" borderId="69" xfId="10" applyNumberFormat="1" applyFont="1" applyFill="1" applyBorder="1" applyAlignment="1">
      <alignment horizontal="right"/>
    </xf>
    <xf numFmtId="166" fontId="0" fillId="0" borderId="46" xfId="10" applyNumberFormat="1" applyFont="1" applyFill="1" applyBorder="1"/>
    <xf numFmtId="166" fontId="0" fillId="0" borderId="47" xfId="10" applyNumberFormat="1" applyFont="1" applyFill="1" applyBorder="1"/>
    <xf numFmtId="166" fontId="0" fillId="0" borderId="48" xfId="10" applyNumberFormat="1" applyFont="1" applyFill="1" applyBorder="1"/>
    <xf numFmtId="166" fontId="0" fillId="3" borderId="49" xfId="10" applyNumberFormat="1" applyFont="1" applyFill="1" applyBorder="1"/>
    <xf numFmtId="166" fontId="0" fillId="3" borderId="50" xfId="10" applyNumberFormat="1" applyFont="1" applyFill="1" applyBorder="1"/>
    <xf numFmtId="166" fontId="0" fillId="3" borderId="51" xfId="10" applyNumberFormat="1" applyFont="1" applyFill="1" applyBorder="1"/>
    <xf numFmtId="166" fontId="0" fillId="3" borderId="60" xfId="10" applyNumberFormat="1" applyFont="1" applyFill="1" applyBorder="1"/>
    <xf numFmtId="166" fontId="0" fillId="3" borderId="61" xfId="10" applyNumberFormat="1" applyFont="1" applyFill="1" applyBorder="1"/>
    <xf numFmtId="166" fontId="0" fillId="3" borderId="62" xfId="10" applyNumberFormat="1" applyFont="1" applyFill="1" applyBorder="1"/>
    <xf numFmtId="0" fontId="16" fillId="0" borderId="12" xfId="9" applyFont="1" applyBorder="1" applyAlignment="1">
      <alignment horizontal="center" wrapText="1"/>
    </xf>
    <xf numFmtId="0" fontId="16" fillId="0" borderId="20" xfId="9" applyFont="1" applyBorder="1" applyAlignment="1">
      <alignment horizontal="center" wrapText="1"/>
    </xf>
    <xf numFmtId="0" fontId="16" fillId="0" borderId="11" xfId="9" applyFont="1" applyBorder="1" applyAlignment="1">
      <alignment horizontal="center" wrapText="1"/>
    </xf>
    <xf numFmtId="0" fontId="3" fillId="0" borderId="63" xfId="9" applyBorder="1" applyAlignment="1">
      <alignment horizontal="center"/>
    </xf>
    <xf numFmtId="0" fontId="3" fillId="0" borderId="28" xfId="9" applyBorder="1" applyAlignment="1">
      <alignment horizontal="center"/>
    </xf>
    <xf numFmtId="0" fontId="3" fillId="0" borderId="29" xfId="9" applyBorder="1" applyAlignment="1">
      <alignment horizontal="center"/>
    </xf>
    <xf numFmtId="0" fontId="3" fillId="0" borderId="15" xfId="9" applyBorder="1" applyAlignment="1">
      <alignment horizontal="right"/>
    </xf>
    <xf numFmtId="0" fontId="27" fillId="0" borderId="0" xfId="9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11" fillId="2" borderId="2" xfId="0" applyFont="1" applyFill="1" applyBorder="1" applyAlignment="1">
      <alignment horizontal="center"/>
    </xf>
    <xf numFmtId="1" fontId="15" fillId="0" borderId="15" xfId="3" applyNumberFormat="1" applyFont="1" applyBorder="1"/>
    <xf numFmtId="166" fontId="15" fillId="0" borderId="44" xfId="4" applyNumberFormat="1" applyFont="1" applyFill="1" applyBorder="1" applyAlignment="1" applyProtection="1">
      <alignment horizontal="right"/>
    </xf>
    <xf numFmtId="166" fontId="15" fillId="0" borderId="43" xfId="4" applyNumberFormat="1" applyFont="1" applyFill="1" applyBorder="1" applyAlignment="1" applyProtection="1">
      <alignment horizontal="right"/>
    </xf>
    <xf numFmtId="166" fontId="15" fillId="0" borderId="41" xfId="4" applyNumberFormat="1" applyFont="1" applyFill="1" applyBorder="1" applyAlignment="1" applyProtection="1">
      <alignment horizontal="right"/>
    </xf>
    <xf numFmtId="166" fontId="15" fillId="0" borderId="42" xfId="4" applyNumberFormat="1" applyFont="1" applyFill="1" applyBorder="1" applyAlignment="1" applyProtection="1">
      <alignment horizontal="right"/>
    </xf>
    <xf numFmtId="49" fontId="8" fillId="2" borderId="21" xfId="0" applyNumberFormat="1" applyFont="1" applyFill="1" applyBorder="1" applyAlignment="1" applyProtection="1">
      <alignment horizontal="center"/>
      <protection locked="0"/>
    </xf>
    <xf numFmtId="0" fontId="11" fillId="2" borderId="73" xfId="0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hidden="1"/>
    </xf>
    <xf numFmtId="166" fontId="0" fillId="0" borderId="10" xfId="4" applyNumberFormat="1" applyFont="1" applyBorder="1"/>
    <xf numFmtId="0" fontId="19" fillId="0" borderId="64" xfId="3" applyFont="1" applyBorder="1"/>
    <xf numFmtId="166" fontId="0" fillId="0" borderId="10" xfId="4" applyNumberFormat="1" applyFont="1" applyBorder="1" applyAlignment="1">
      <alignment horizontal="center"/>
    </xf>
    <xf numFmtId="0" fontId="15" fillId="2" borderId="45" xfId="3" applyFont="1" applyFill="1" applyBorder="1" applyAlignment="1">
      <alignment horizontal="centerContinuous"/>
    </xf>
    <xf numFmtId="0" fontId="6" fillId="2" borderId="15" xfId="3" applyFill="1" applyBorder="1" applyAlignment="1">
      <alignment horizontal="centerContinuous"/>
    </xf>
    <xf numFmtId="0" fontId="6" fillId="2" borderId="64" xfId="3" applyFill="1" applyBorder="1" applyAlignment="1">
      <alignment horizontal="centerContinuous"/>
    </xf>
    <xf numFmtId="1" fontId="11" fillId="2" borderId="4" xfId="12" applyNumberFormat="1" applyFont="1" applyFill="1" applyBorder="1" applyProtection="1">
      <protection locked="0"/>
    </xf>
    <xf numFmtId="166" fontId="8" fillId="2" borderId="61" xfId="16" applyNumberFormat="1" applyFont="1" applyFill="1" applyBorder="1" applyProtection="1">
      <protection locked="0"/>
    </xf>
    <xf numFmtId="166" fontId="8" fillId="2" borderId="62" xfId="16" applyNumberFormat="1" applyFont="1" applyFill="1" applyBorder="1" applyProtection="1">
      <protection locked="0"/>
    </xf>
    <xf numFmtId="166" fontId="8" fillId="2" borderId="60" xfId="16" applyNumberFormat="1" applyFont="1" applyFill="1" applyBorder="1" applyProtection="1">
      <protection locked="0"/>
    </xf>
    <xf numFmtId="166" fontId="8" fillId="2" borderId="50" xfId="16" applyNumberFormat="1" applyFont="1" applyFill="1" applyBorder="1" applyProtection="1">
      <protection locked="0"/>
    </xf>
    <xf numFmtId="166" fontId="8" fillId="2" borderId="51" xfId="16" applyNumberFormat="1" applyFont="1" applyFill="1" applyBorder="1" applyProtection="1">
      <protection locked="0"/>
    </xf>
    <xf numFmtId="166" fontId="8" fillId="2" borderId="49" xfId="16" applyNumberFormat="1" applyFont="1" applyFill="1" applyBorder="1" applyProtection="1">
      <protection locked="0"/>
    </xf>
    <xf numFmtId="166" fontId="8" fillId="2" borderId="59" xfId="16" applyNumberFormat="1" applyFont="1" applyFill="1" applyBorder="1" applyProtection="1">
      <protection locked="0"/>
    </xf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1" fillId="0" borderId="0" xfId="0" applyFont="1" applyAlignment="1">
      <alignment horizontal="right"/>
    </xf>
    <xf numFmtId="0" fontId="14" fillId="0" borderId="16" xfId="0" applyFont="1" applyBorder="1" applyAlignment="1">
      <alignment horizontal="right"/>
    </xf>
    <xf numFmtId="0" fontId="13" fillId="0" borderId="0" xfId="0" applyFont="1" applyAlignment="1">
      <alignment horizontal="left" vertical="top"/>
    </xf>
    <xf numFmtId="9" fontId="0" fillId="0" borderId="61" xfId="4" applyFont="1" applyBorder="1"/>
    <xf numFmtId="9" fontId="0" fillId="0" borderId="60" xfId="4" applyFont="1" applyBorder="1"/>
    <xf numFmtId="9" fontId="0" fillId="0" borderId="46" xfId="4" applyFont="1" applyBorder="1"/>
    <xf numFmtId="9" fontId="0" fillId="0" borderId="34" xfId="4" applyFont="1" applyBorder="1"/>
    <xf numFmtId="9" fontId="0" fillId="0" borderId="32" xfId="4" applyFont="1" applyBorder="1"/>
    <xf numFmtId="9" fontId="9" fillId="0" borderId="61" xfId="4" applyFont="1" applyBorder="1"/>
    <xf numFmtId="0" fontId="12" fillId="0" borderId="0" xfId="0" applyFont="1"/>
    <xf numFmtId="0" fontId="31" fillId="0" borderId="0" xfId="0" applyFont="1"/>
    <xf numFmtId="0" fontId="0" fillId="0" borderId="0" xfId="0" applyProtection="1">
      <protection locked="0"/>
    </xf>
    <xf numFmtId="0" fontId="9" fillId="0" borderId="0" xfId="0" applyFont="1"/>
    <xf numFmtId="0" fontId="11" fillId="0" borderId="0" xfId="0" applyFont="1" applyAlignment="1" applyProtection="1">
      <alignment horizontal="left"/>
      <protection hidden="1"/>
    </xf>
    <xf numFmtId="166" fontId="11" fillId="0" borderId="0" xfId="0" applyNumberFormat="1" applyFont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>
      <alignment horizontal="left"/>
    </xf>
    <xf numFmtId="0" fontId="11" fillId="0" borderId="0" xfId="0" applyFont="1" applyAlignment="1">
      <alignment wrapText="1"/>
    </xf>
    <xf numFmtId="0" fontId="14" fillId="0" borderId="5" xfId="0" applyFont="1" applyBorder="1" applyAlignment="1">
      <alignment horizontal="right"/>
    </xf>
    <xf numFmtId="0" fontId="14" fillId="0" borderId="5" xfId="0" applyFont="1" applyBorder="1" applyAlignment="1">
      <alignment horizontal="center"/>
    </xf>
    <xf numFmtId="0" fontId="29" fillId="0" borderId="0" xfId="11" applyFill="1" applyBorder="1" applyAlignment="1" applyProtection="1">
      <alignment horizontal="center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1" fillId="0" borderId="8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4" borderId="11" xfId="0" applyFill="1" applyBorder="1" applyAlignment="1" applyProtection="1">
      <alignment horizontal="center"/>
      <protection locked="0"/>
    </xf>
    <xf numFmtId="0" fontId="31" fillId="0" borderId="0" xfId="0" applyFont="1" applyAlignment="1">
      <alignment horizontal="center"/>
    </xf>
    <xf numFmtId="0" fontId="11" fillId="2" borderId="79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wrapText="1"/>
    </xf>
    <xf numFmtId="10" fontId="8" fillId="2" borderId="50" xfId="16" applyNumberFormat="1" applyFont="1" applyFill="1" applyBorder="1" applyProtection="1">
      <protection locked="0"/>
    </xf>
    <xf numFmtId="10" fontId="8" fillId="2" borderId="51" xfId="16" applyNumberFormat="1" applyFont="1" applyFill="1" applyBorder="1" applyProtection="1">
      <protection locked="0"/>
    </xf>
    <xf numFmtId="10" fontId="8" fillId="2" borderId="49" xfId="16" applyNumberFormat="1" applyFont="1" applyFill="1" applyBorder="1" applyProtection="1">
      <protection locked="0"/>
    </xf>
    <xf numFmtId="0" fontId="23" fillId="0" borderId="29" xfId="3" applyFont="1" applyBorder="1" applyAlignment="1">
      <alignment horizontal="centerContinuous"/>
    </xf>
    <xf numFmtId="0" fontId="23" fillId="0" borderId="28" xfId="3" applyFont="1" applyBorder="1" applyAlignment="1">
      <alignment horizontal="centerContinuous"/>
    </xf>
    <xf numFmtId="0" fontId="23" fillId="0" borderId="7" xfId="3" applyFont="1" applyBorder="1" applyAlignment="1">
      <alignment horizontal="center"/>
    </xf>
    <xf numFmtId="0" fontId="23" fillId="0" borderId="63" xfId="3" applyFont="1" applyBorder="1" applyAlignment="1">
      <alignment horizontal="center"/>
    </xf>
    <xf numFmtId="0" fontId="23" fillId="0" borderId="18" xfId="3" applyFont="1" applyBorder="1" applyAlignment="1">
      <alignment horizontal="center"/>
    </xf>
    <xf numFmtId="0" fontId="23" fillId="0" borderId="28" xfId="3" applyFont="1" applyBorder="1" applyAlignment="1">
      <alignment horizontal="center"/>
    </xf>
    <xf numFmtId="0" fontId="12" fillId="0" borderId="0" xfId="0" applyFont="1" applyAlignment="1">
      <alignment horizontal="centerContinuous"/>
    </xf>
    <xf numFmtId="166" fontId="8" fillId="2" borderId="50" xfId="16" applyNumberFormat="1" applyFont="1" applyFill="1" applyBorder="1" applyProtection="1"/>
    <xf numFmtId="166" fontId="8" fillId="2" borderId="51" xfId="16" applyNumberFormat="1" applyFont="1" applyFill="1" applyBorder="1" applyProtection="1"/>
    <xf numFmtId="166" fontId="8" fillId="2" borderId="49" xfId="16" applyNumberFormat="1" applyFont="1" applyFill="1" applyBorder="1" applyProtection="1"/>
    <xf numFmtId="0" fontId="23" fillId="0" borderId="20" xfId="3" applyFont="1" applyBorder="1" applyAlignment="1">
      <alignment horizontal="center" wrapText="1"/>
    </xf>
    <xf numFmtId="9" fontId="0" fillId="0" borderId="66" xfId="4" applyFont="1" applyBorder="1"/>
    <xf numFmtId="9" fontId="0" fillId="0" borderId="58" xfId="4" applyFont="1" applyBorder="1"/>
    <xf numFmtId="166" fontId="0" fillId="0" borderId="58" xfId="4" applyNumberFormat="1" applyFont="1" applyBorder="1"/>
    <xf numFmtId="0" fontId="1" fillId="0" borderId="13" xfId="3" applyFont="1" applyBorder="1" applyAlignment="1">
      <alignment horizontal="centerContinuous"/>
    </xf>
    <xf numFmtId="0" fontId="15" fillId="0" borderId="57" xfId="3" applyFont="1" applyBorder="1" applyAlignment="1">
      <alignment horizontal="center"/>
    </xf>
    <xf numFmtId="0" fontId="23" fillId="0" borderId="18" xfId="3" applyFont="1" applyBorder="1" applyAlignment="1" applyProtection="1">
      <alignment horizontal="centerContinuous"/>
      <protection locked="0"/>
    </xf>
    <xf numFmtId="0" fontId="16" fillId="0" borderId="55" xfId="3" applyFont="1" applyBorder="1" applyAlignment="1" applyProtection="1">
      <alignment horizontal="center"/>
      <protection locked="0"/>
    </xf>
    <xf numFmtId="0" fontId="23" fillId="0" borderId="55" xfId="3" applyFont="1" applyBorder="1" applyAlignment="1" applyProtection="1">
      <alignment horizontal="center"/>
      <protection locked="0"/>
    </xf>
    <xf numFmtId="0" fontId="16" fillId="0" borderId="52" xfId="3" applyFont="1" applyBorder="1" applyAlignment="1" applyProtection="1">
      <alignment horizontal="center" wrapText="1"/>
      <protection locked="0"/>
    </xf>
    <xf numFmtId="166" fontId="8" fillId="2" borderId="67" xfId="16" applyNumberFormat="1" applyFont="1" applyFill="1" applyBorder="1" applyProtection="1">
      <protection locked="0"/>
    </xf>
    <xf numFmtId="166" fontId="8" fillId="2" borderId="65" xfId="16" applyNumberFormat="1" applyFont="1" applyFill="1" applyBorder="1" applyProtection="1">
      <protection locked="0"/>
    </xf>
    <xf numFmtId="166" fontId="8" fillId="0" borderId="10" xfId="16" applyNumberFormat="1" applyFont="1" applyFill="1" applyBorder="1" applyProtection="1">
      <protection locked="0"/>
    </xf>
    <xf numFmtId="0" fontId="15" fillId="0" borderId="7" xfId="3" applyFont="1" applyBorder="1" applyAlignment="1">
      <alignment horizontal="center"/>
    </xf>
    <xf numFmtId="0" fontId="15" fillId="0" borderId="63" xfId="3" applyFont="1" applyBorder="1" applyAlignment="1">
      <alignment horizontal="center"/>
    </xf>
    <xf numFmtId="0" fontId="15" fillId="0" borderId="42" xfId="3" applyFont="1" applyBorder="1" applyAlignment="1">
      <alignment horizontal="center"/>
    </xf>
    <xf numFmtId="0" fontId="15" fillId="0" borderId="29" xfId="3" applyFont="1" applyBorder="1" applyAlignment="1">
      <alignment horizontal="center"/>
    </xf>
    <xf numFmtId="166" fontId="8" fillId="0" borderId="10" xfId="16" applyNumberFormat="1" applyFont="1" applyFill="1" applyBorder="1" applyAlignment="1" applyProtection="1">
      <alignment horizontal="center"/>
      <protection locked="0"/>
    </xf>
    <xf numFmtId="10" fontId="8" fillId="0" borderId="10" xfId="16" applyNumberFormat="1" applyFont="1" applyFill="1" applyBorder="1" applyAlignment="1" applyProtection="1">
      <alignment horizontal="center"/>
      <protection locked="0"/>
    </xf>
    <xf numFmtId="0" fontId="23" fillId="0" borderId="55" xfId="3" applyFont="1" applyBorder="1" applyAlignment="1">
      <alignment horizontal="center"/>
    </xf>
    <xf numFmtId="166" fontId="0" fillId="0" borderId="45" xfId="4" applyNumberFormat="1" applyFont="1" applyBorder="1" applyAlignment="1">
      <alignment horizontal="center"/>
    </xf>
    <xf numFmtId="0" fontId="6" fillId="0" borderId="0" xfId="3" applyAlignment="1">
      <alignment horizontal="left"/>
    </xf>
    <xf numFmtId="14" fontId="6" fillId="0" borderId="0" xfId="3" applyNumberFormat="1" applyAlignment="1">
      <alignment horizontal="right"/>
    </xf>
    <xf numFmtId="0" fontId="15" fillId="0" borderId="0" xfId="3" applyFont="1"/>
    <xf numFmtId="0" fontId="6" fillId="0" borderId="0" xfId="3" applyProtection="1">
      <protection hidden="1"/>
    </xf>
    <xf numFmtId="0" fontId="6" fillId="0" borderId="0" xfId="3" applyAlignment="1">
      <alignment horizontal="center" wrapText="1"/>
    </xf>
    <xf numFmtId="0" fontId="16" fillId="0" borderId="0" xfId="3" applyFont="1" applyAlignment="1">
      <alignment horizontal="center" wrapText="1"/>
    </xf>
    <xf numFmtId="0" fontId="16" fillId="0" borderId="0" xfId="3" applyFont="1" applyAlignment="1">
      <alignment horizontal="center"/>
    </xf>
    <xf numFmtId="166" fontId="0" fillId="0" borderId="0" xfId="4" applyNumberFormat="1" applyFont="1" applyBorder="1" applyProtection="1">
      <protection hidden="1"/>
    </xf>
    <xf numFmtId="12" fontId="6" fillId="0" borderId="0" xfId="3" applyNumberFormat="1" applyAlignment="1">
      <alignment horizontal="left"/>
    </xf>
    <xf numFmtId="2" fontId="6" fillId="0" borderId="0" xfId="3" applyNumberFormat="1" applyAlignment="1">
      <alignment horizontal="left"/>
    </xf>
    <xf numFmtId="164" fontId="6" fillId="0" borderId="0" xfId="3" applyNumberFormat="1" applyAlignment="1">
      <alignment horizontal="left"/>
    </xf>
    <xf numFmtId="165" fontId="6" fillId="0" borderId="0" xfId="3" applyNumberFormat="1" applyAlignment="1">
      <alignment horizontal="left"/>
    </xf>
    <xf numFmtId="0" fontId="6" fillId="0" borderId="80" xfId="3" applyBorder="1" applyAlignment="1">
      <alignment horizontal="left"/>
    </xf>
    <xf numFmtId="0" fontId="15" fillId="0" borderId="0" xfId="3" applyFont="1" applyAlignment="1">
      <alignment horizontal="right"/>
    </xf>
    <xf numFmtId="166" fontId="6" fillId="0" borderId="0" xfId="3" applyNumberFormat="1" applyAlignment="1" applyProtection="1">
      <alignment horizontal="center"/>
      <protection hidden="1"/>
    </xf>
    <xf numFmtId="0" fontId="20" fillId="0" borderId="0" xfId="3" applyFont="1" applyAlignment="1">
      <alignment horizontal="left"/>
    </xf>
    <xf numFmtId="166" fontId="15" fillId="0" borderId="0" xfId="4" applyNumberFormat="1" applyFont="1" applyFill="1" applyBorder="1" applyAlignment="1" applyProtection="1">
      <alignment horizontal="right"/>
    </xf>
    <xf numFmtId="10" fontId="8" fillId="2" borderId="81" xfId="16" applyNumberFormat="1" applyFont="1" applyFill="1" applyBorder="1" applyProtection="1"/>
    <xf numFmtId="10" fontId="8" fillId="2" borderId="82" xfId="16" applyNumberFormat="1" applyFont="1" applyFill="1" applyBorder="1" applyProtection="1"/>
    <xf numFmtId="10" fontId="8" fillId="2" borderId="83" xfId="16" applyNumberFormat="1" applyFont="1" applyFill="1" applyBorder="1" applyProtection="1"/>
    <xf numFmtId="10" fontId="8" fillId="0" borderId="7" xfId="16" applyNumberFormat="1" applyFont="1" applyFill="1" applyBorder="1" applyProtection="1">
      <protection locked="0"/>
    </xf>
    <xf numFmtId="10" fontId="8" fillId="2" borderId="84" xfId="16" applyNumberFormat="1" applyFont="1" applyFill="1" applyBorder="1" applyProtection="1">
      <protection locked="0"/>
    </xf>
    <xf numFmtId="10" fontId="8" fillId="2" borderId="83" xfId="16" applyNumberFormat="1" applyFont="1" applyFill="1" applyBorder="1" applyProtection="1">
      <protection locked="0"/>
    </xf>
    <xf numFmtId="166" fontId="22" fillId="0" borderId="11" xfId="4" applyNumberFormat="1" applyFont="1" applyFill="1" applyBorder="1" applyProtection="1"/>
    <xf numFmtId="0" fontId="6" fillId="0" borderId="12" xfId="3" applyBorder="1" applyAlignment="1">
      <alignment horizontal="left"/>
    </xf>
    <xf numFmtId="9" fontId="0" fillId="0" borderId="37" xfId="4" applyFont="1" applyBorder="1"/>
    <xf numFmtId="166" fontId="0" fillId="0" borderId="15" xfId="4" applyNumberFormat="1" applyFont="1" applyBorder="1"/>
    <xf numFmtId="166" fontId="22" fillId="0" borderId="45" xfId="4" applyNumberFormat="1" applyFont="1" applyFill="1" applyBorder="1" applyProtection="1"/>
    <xf numFmtId="166" fontId="22" fillId="0" borderId="15" xfId="4" applyNumberFormat="1" applyFont="1" applyFill="1" applyBorder="1" applyProtection="1"/>
    <xf numFmtId="0" fontId="0" fillId="0" borderId="17" xfId="0" applyBorder="1"/>
    <xf numFmtId="0" fontId="0" fillId="0" borderId="13" xfId="0" applyBorder="1"/>
    <xf numFmtId="0" fontId="0" fillId="0" borderId="18" xfId="0" applyBorder="1"/>
    <xf numFmtId="0" fontId="0" fillId="0" borderId="29" xfId="0" applyBorder="1"/>
    <xf numFmtId="0" fontId="0" fillId="0" borderId="28" xfId="0" applyBorder="1"/>
    <xf numFmtId="0" fontId="0" fillId="0" borderId="19" xfId="0" applyBorder="1"/>
    <xf numFmtId="0" fontId="0" fillId="0" borderId="11" xfId="0" applyBorder="1"/>
    <xf numFmtId="0" fontId="0" fillId="0" borderId="20" xfId="0" applyBorder="1"/>
    <xf numFmtId="0" fontId="11" fillId="0" borderId="29" xfId="0" applyFont="1" applyBorder="1"/>
    <xf numFmtId="0" fontId="11" fillId="0" borderId="19" xfId="0" applyFont="1" applyBorder="1"/>
    <xf numFmtId="0" fontId="11" fillId="0" borderId="11" xfId="0" applyFont="1" applyBorder="1"/>
    <xf numFmtId="14" fontId="11" fillId="0" borderId="19" xfId="0" applyNumberFormat="1" applyFont="1" applyBorder="1" applyProtection="1">
      <protection locked="0"/>
    </xf>
    <xf numFmtId="14" fontId="11" fillId="0" borderId="11" xfId="0" applyNumberFormat="1" applyFont="1" applyBorder="1" applyProtection="1">
      <protection locked="0"/>
    </xf>
    <xf numFmtId="0" fontId="8" fillId="0" borderId="0" xfId="0" applyFont="1" applyAlignment="1">
      <alignment horizontal="centerContinuous"/>
    </xf>
    <xf numFmtId="2" fontId="0" fillId="0" borderId="0" xfId="0" applyNumberFormat="1" applyAlignment="1" applyProtection="1">
      <alignment horizontal="center"/>
      <protection hidden="1"/>
    </xf>
    <xf numFmtId="1" fontId="11" fillId="0" borderId="0" xfId="0" applyNumberFormat="1" applyFont="1" applyAlignment="1">
      <alignment horizontal="centerContinuous"/>
    </xf>
    <xf numFmtId="0" fontId="11" fillId="0" borderId="0" xfId="0" applyFont="1" applyAlignment="1" applyProtection="1">
      <alignment horizontal="centerContinuous"/>
      <protection hidden="1"/>
    </xf>
    <xf numFmtId="1" fontId="13" fillId="0" borderId="0" xfId="0" applyNumberFormat="1" applyFont="1" applyAlignment="1">
      <alignment horizontal="centerContinuous"/>
    </xf>
    <xf numFmtId="0" fontId="11" fillId="0" borderId="17" xfId="0" applyFont="1" applyBorder="1"/>
    <xf numFmtId="0" fontId="33" fillId="0" borderId="0" xfId="0" applyFont="1" applyAlignment="1">
      <alignment horizontal="left"/>
    </xf>
    <xf numFmtId="168" fontId="11" fillId="0" borderId="0" xfId="0" applyNumberFormat="1" applyFont="1" applyProtection="1">
      <protection hidden="1"/>
    </xf>
    <xf numFmtId="0" fontId="11" fillId="0" borderId="0" xfId="0" applyFont="1" applyProtection="1">
      <protection locked="0"/>
    </xf>
    <xf numFmtId="0" fontId="11" fillId="0" borderId="0" xfId="0" applyFont="1" applyAlignment="1">
      <alignment horizontal="right" indent="1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164" fontId="11" fillId="0" borderId="0" xfId="0" applyNumberFormat="1" applyFont="1"/>
    <xf numFmtId="0" fontId="34" fillId="0" borderId="0" xfId="0" applyFont="1"/>
    <xf numFmtId="0" fontId="28" fillId="0" borderId="0" xfId="0" applyFont="1"/>
    <xf numFmtId="0" fontId="30" fillId="0" borderId="0" xfId="0" applyFont="1" applyAlignment="1">
      <alignment horizontal="centerContinuous"/>
    </xf>
    <xf numFmtId="1" fontId="9" fillId="0" borderId="0" xfId="0" applyNumberFormat="1" applyFont="1" applyAlignment="1">
      <alignment horizontal="centerContinuous"/>
    </xf>
    <xf numFmtId="0" fontId="35" fillId="0" borderId="0" xfId="0" applyFont="1" applyAlignment="1">
      <alignment horizontal="left"/>
    </xf>
    <xf numFmtId="0" fontId="11" fillId="4" borderId="0" xfId="0" applyFont="1" applyFill="1"/>
    <xf numFmtId="0" fontId="6" fillId="0" borderId="19" xfId="3" applyBorder="1" applyAlignment="1">
      <alignment horizontal="left"/>
    </xf>
    <xf numFmtId="0" fontId="15" fillId="0" borderId="13" xfId="3" applyFont="1" applyBorder="1" applyAlignment="1">
      <alignment horizontal="right" indent="1"/>
    </xf>
    <xf numFmtId="0" fontId="15" fillId="0" borderId="0" xfId="3" applyFont="1" applyAlignment="1">
      <alignment horizontal="right" indent="1"/>
    </xf>
    <xf numFmtId="0" fontId="15" fillId="0" borderId="11" xfId="3" applyFont="1" applyBorder="1" applyAlignment="1">
      <alignment horizontal="right" indent="1"/>
    </xf>
    <xf numFmtId="0" fontId="0" fillId="0" borderId="0" xfId="0" applyAlignment="1">
      <alignment horizontal="right" indent="1"/>
    </xf>
    <xf numFmtId="0" fontId="14" fillId="0" borderId="9" xfId="0" applyFont="1" applyBorder="1" applyAlignment="1">
      <alignment horizontal="center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1" fillId="0" borderId="0" xfId="24" applyFont="1" applyAlignment="1">
      <alignment horizontal="center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0" fontId="11" fillId="0" borderId="13" xfId="0" applyFont="1" applyBorder="1"/>
    <xf numFmtId="0" fontId="36" fillId="0" borderId="0" xfId="0" applyFont="1" applyAlignment="1">
      <alignment horizontal="left"/>
    </xf>
    <xf numFmtId="0" fontId="8" fillId="4" borderId="0" xfId="0" applyFont="1" applyFill="1"/>
    <xf numFmtId="0" fontId="0" fillId="4" borderId="0" xfId="0" applyFill="1"/>
    <xf numFmtId="0" fontId="0" fillId="4" borderId="0" xfId="0" applyFill="1" applyAlignment="1" applyProtection="1">
      <alignment horizontal="right"/>
      <protection locked="0"/>
    </xf>
    <xf numFmtId="9" fontId="0" fillId="0" borderId="10" xfId="4" applyFont="1" applyBorder="1" applyAlignment="1">
      <alignment horizontal="center"/>
    </xf>
    <xf numFmtId="0" fontId="11" fillId="0" borderId="0" xfId="24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 indent="1"/>
    </xf>
    <xf numFmtId="0" fontId="11" fillId="2" borderId="15" xfId="0" applyFont="1" applyFill="1" applyBorder="1" applyAlignment="1" applyProtection="1">
      <alignment horizontal="center"/>
      <protection locked="0"/>
    </xf>
    <xf numFmtId="168" fontId="11" fillId="2" borderId="11" xfId="0" applyNumberFormat="1" applyFont="1" applyFill="1" applyBorder="1" applyAlignment="1" applyProtection="1">
      <alignment horizontal="center"/>
      <protection locked="0"/>
    </xf>
    <xf numFmtId="0" fontId="11" fillId="4" borderId="11" xfId="0" applyFont="1" applyFill="1" applyBorder="1" applyAlignment="1" applyProtection="1">
      <alignment horizontal="center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49" fontId="11" fillId="2" borderId="15" xfId="0" applyNumberFormat="1" applyFont="1" applyFill="1" applyBorder="1" applyAlignment="1" applyProtection="1">
      <alignment horizontal="center"/>
      <protection locked="0"/>
    </xf>
    <xf numFmtId="49" fontId="11" fillId="2" borderId="11" xfId="0" applyNumberFormat="1" applyFont="1" applyFill="1" applyBorder="1" applyAlignment="1" applyProtection="1">
      <alignment horizontal="center"/>
      <protection locked="0"/>
    </xf>
    <xf numFmtId="14" fontId="11" fillId="2" borderId="11" xfId="0" applyNumberFormat="1" applyFont="1" applyFill="1" applyBorder="1" applyAlignment="1" applyProtection="1">
      <alignment horizontal="center"/>
      <protection locked="0"/>
    </xf>
    <xf numFmtId="49" fontId="11" fillId="2" borderId="11" xfId="0" applyNumberFormat="1" applyFont="1" applyFill="1" applyBorder="1" applyProtection="1">
      <protection locked="0"/>
    </xf>
    <xf numFmtId="0" fontId="11" fillId="0" borderId="11" xfId="0" applyFont="1" applyBorder="1" applyAlignment="1">
      <alignment horizontal="center"/>
    </xf>
    <xf numFmtId="0" fontId="12" fillId="0" borderId="0" xfId="0" applyFont="1" applyAlignment="1">
      <alignment horizontal="right" indent="1"/>
    </xf>
    <xf numFmtId="0" fontId="11" fillId="2" borderId="13" xfId="0" applyFont="1" applyFill="1" applyBorder="1" applyAlignment="1" applyProtection="1">
      <alignment horizontal="center"/>
      <protection locked="0"/>
    </xf>
    <xf numFmtId="0" fontId="11" fillId="2" borderId="17" xfId="0" applyFont="1" applyFill="1" applyBorder="1" applyAlignment="1" applyProtection="1">
      <alignment horizontal="center" wrapText="1"/>
      <protection locked="0"/>
    </xf>
    <xf numFmtId="0" fontId="11" fillId="2" borderId="13" xfId="0" applyFont="1" applyFill="1" applyBorder="1" applyAlignment="1" applyProtection="1">
      <alignment horizontal="center" wrapText="1"/>
      <protection locked="0"/>
    </xf>
    <xf numFmtId="0" fontId="11" fillId="2" borderId="18" xfId="0" applyFont="1" applyFill="1" applyBorder="1" applyAlignment="1" applyProtection="1">
      <alignment horizontal="center" wrapText="1"/>
      <protection locked="0"/>
    </xf>
    <xf numFmtId="0" fontId="11" fillId="2" borderId="19" xfId="0" applyFont="1" applyFill="1" applyBorder="1" applyAlignment="1" applyProtection="1">
      <alignment horizontal="center" wrapText="1"/>
      <protection locked="0"/>
    </xf>
    <xf numFmtId="0" fontId="11" fillId="2" borderId="11" xfId="0" applyFont="1" applyFill="1" applyBorder="1" applyAlignment="1" applyProtection="1">
      <alignment horizontal="center" wrapText="1"/>
      <protection locked="0"/>
    </xf>
    <xf numFmtId="0" fontId="11" fillId="2" borderId="20" xfId="0" applyFont="1" applyFill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left" wrapText="1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2" fontId="0" fillId="0" borderId="21" xfId="0" applyNumberFormat="1" applyBorder="1" applyAlignment="1" applyProtection="1">
      <alignment horizontal="center"/>
      <protection hidden="1"/>
    </xf>
    <xf numFmtId="2" fontId="0" fillId="0" borderId="14" xfId="0" applyNumberFormat="1" applyBorder="1" applyAlignment="1" applyProtection="1">
      <alignment horizontal="center"/>
      <protection hidden="1"/>
    </xf>
    <xf numFmtId="2" fontId="0" fillId="0" borderId="22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/>
      <protection locked="0"/>
    </xf>
    <xf numFmtId="0" fontId="11" fillId="2" borderId="5" xfId="0" applyFont="1" applyFill="1" applyBorder="1" applyAlignment="1" applyProtection="1">
      <alignment horizontal="center"/>
      <protection locked="0"/>
    </xf>
    <xf numFmtId="1" fontId="14" fillId="0" borderId="21" xfId="0" applyNumberFormat="1" applyFont="1" applyBorder="1" applyAlignment="1">
      <alignment horizontal="left" vertical="top" wrapText="1"/>
    </xf>
    <xf numFmtId="1" fontId="14" fillId="0" borderId="13" xfId="0" applyNumberFormat="1" applyFont="1" applyBorder="1" applyAlignment="1">
      <alignment horizontal="left" vertical="top" wrapText="1"/>
    </xf>
    <xf numFmtId="1" fontId="14" fillId="0" borderId="72" xfId="0" applyNumberFormat="1" applyFont="1" applyBorder="1" applyAlignment="1">
      <alignment horizontal="left" vertical="top" wrapText="1"/>
    </xf>
    <xf numFmtId="1" fontId="14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2" fontId="11" fillId="0" borderId="27" xfId="0" applyNumberFormat="1" applyFont="1" applyBorder="1" applyAlignment="1" applyProtection="1">
      <alignment horizontal="center"/>
      <protection hidden="1"/>
    </xf>
    <xf numFmtId="2" fontId="11" fillId="0" borderId="6" xfId="0" applyNumberFormat="1" applyFont="1" applyBorder="1" applyAlignment="1" applyProtection="1">
      <alignment horizontal="center"/>
      <protection hidden="1"/>
    </xf>
    <xf numFmtId="0" fontId="37" fillId="0" borderId="0" xfId="0" applyFont="1" applyAlignment="1">
      <alignment horizontal="right"/>
    </xf>
    <xf numFmtId="2" fontId="11" fillId="2" borderId="27" xfId="0" applyNumberFormat="1" applyFont="1" applyFill="1" applyBorder="1" applyAlignment="1" applyProtection="1">
      <alignment horizontal="center"/>
      <protection locked="0"/>
    </xf>
    <xf numFmtId="2" fontId="11" fillId="2" borderId="6" xfId="0" applyNumberFormat="1" applyFont="1" applyFill="1" applyBorder="1" applyAlignment="1" applyProtection="1">
      <alignment horizontal="center"/>
      <protection locked="0"/>
    </xf>
    <xf numFmtId="164" fontId="11" fillId="2" borderId="4" xfId="0" applyNumberFormat="1" applyFont="1" applyFill="1" applyBorder="1" applyAlignment="1" applyProtection="1">
      <alignment horizontal="center"/>
      <protection locked="0"/>
    </xf>
    <xf numFmtId="164" fontId="11" fillId="2" borderId="5" xfId="0" applyNumberFormat="1" applyFont="1" applyFill="1" applyBorder="1" applyAlignment="1" applyProtection="1">
      <alignment horizontal="center"/>
      <protection locked="0"/>
    </xf>
    <xf numFmtId="0" fontId="11" fillId="0" borderId="7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2" borderId="21" xfId="0" applyFont="1" applyFill="1" applyBorder="1" applyAlignment="1" applyProtection="1">
      <alignment horizontal="center"/>
      <protection locked="0"/>
    </xf>
    <xf numFmtId="0" fontId="11" fillId="2" borderId="14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left" vertical="top" wrapText="1"/>
    </xf>
    <xf numFmtId="0" fontId="11" fillId="2" borderId="79" xfId="0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wrapText="1"/>
    </xf>
    <xf numFmtId="0" fontId="11" fillId="2" borderId="27" xfId="0" applyFont="1" applyFill="1" applyBorder="1" applyAlignment="1" applyProtection="1">
      <alignment horizontal="center"/>
      <protection locked="0"/>
    </xf>
    <xf numFmtId="0" fontId="11" fillId="2" borderId="6" xfId="0" applyFont="1" applyFill="1" applyBorder="1" applyAlignment="1" applyProtection="1">
      <alignment horizontal="center"/>
      <protection locked="0"/>
    </xf>
    <xf numFmtId="0" fontId="11" fillId="2" borderId="24" xfId="0" applyFont="1" applyFill="1" applyBorder="1" applyAlignment="1" applyProtection="1">
      <alignment horizontal="center"/>
      <protection locked="0"/>
    </xf>
    <xf numFmtId="0" fontId="11" fillId="2" borderId="25" xfId="0" applyFont="1" applyFill="1" applyBorder="1" applyAlignment="1" applyProtection="1">
      <alignment horizontal="center"/>
      <protection locked="0"/>
    </xf>
    <xf numFmtId="0" fontId="11" fillId="0" borderId="7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74" xfId="0" applyFont="1" applyBorder="1" applyAlignment="1">
      <alignment horizontal="center"/>
    </xf>
    <xf numFmtId="0" fontId="11" fillId="0" borderId="11" xfId="0" applyFont="1" applyBorder="1" applyAlignment="1" applyProtection="1">
      <alignment horizontal="center"/>
      <protection hidden="1"/>
    </xf>
    <xf numFmtId="0" fontId="11" fillId="0" borderId="15" xfId="0" applyFont="1" applyBorder="1" applyAlignment="1" applyProtection="1">
      <alignment horizontal="center"/>
      <protection hidden="1"/>
    </xf>
    <xf numFmtId="0" fontId="11" fillId="2" borderId="9" xfId="0" applyFont="1" applyFill="1" applyBorder="1" applyAlignment="1" applyProtection="1">
      <alignment horizontal="center"/>
      <protection locked="0"/>
    </xf>
    <xf numFmtId="0" fontId="11" fillId="2" borderId="26" xfId="0" applyFont="1" applyFill="1" applyBorder="1" applyAlignment="1" applyProtection="1">
      <alignment horizontal="center"/>
      <protection locked="0"/>
    </xf>
    <xf numFmtId="0" fontId="11" fillId="2" borderId="75" xfId="0" applyFont="1" applyFill="1" applyBorder="1" applyAlignment="1" applyProtection="1">
      <alignment horizontal="center"/>
      <protection locked="0"/>
    </xf>
    <xf numFmtId="0" fontId="11" fillId="2" borderId="76" xfId="0" applyFont="1" applyFill="1" applyBorder="1" applyAlignment="1" applyProtection="1">
      <alignment horizontal="center"/>
      <protection locked="0"/>
    </xf>
    <xf numFmtId="0" fontId="23" fillId="0" borderId="57" xfId="3" applyFont="1" applyBorder="1" applyAlignment="1">
      <alignment horizontal="center" vertical="top" textRotation="90"/>
    </xf>
    <xf numFmtId="0" fontId="23" fillId="0" borderId="54" xfId="3" applyFont="1" applyBorder="1" applyAlignment="1">
      <alignment horizontal="center" vertical="top" textRotation="90"/>
    </xf>
    <xf numFmtId="0" fontId="6" fillId="0" borderId="67" xfId="3" applyBorder="1" applyAlignment="1">
      <alignment horizontal="left"/>
    </xf>
    <xf numFmtId="0" fontId="6" fillId="0" borderId="66" xfId="3" applyBorder="1" applyAlignment="1">
      <alignment horizontal="left"/>
    </xf>
    <xf numFmtId="0" fontId="6" fillId="0" borderId="65" xfId="3" applyBorder="1" applyAlignment="1">
      <alignment horizontal="left"/>
    </xf>
    <xf numFmtId="0" fontId="6" fillId="0" borderId="58" xfId="3" applyBorder="1" applyAlignment="1">
      <alignment horizontal="left"/>
    </xf>
    <xf numFmtId="14" fontId="6" fillId="0" borderId="37" xfId="3" applyNumberFormat="1" applyBorder="1" applyAlignment="1">
      <alignment horizontal="left"/>
    </xf>
    <xf numFmtId="14" fontId="6" fillId="0" borderId="36" xfId="3" applyNumberFormat="1" applyBorder="1" applyAlignment="1">
      <alignment horizontal="left"/>
    </xf>
    <xf numFmtId="0" fontId="23" fillId="0" borderId="17" xfId="3" applyFont="1" applyBorder="1" applyAlignment="1">
      <alignment horizontal="center"/>
    </xf>
    <xf numFmtId="0" fontId="23" fillId="0" borderId="18" xfId="3" applyFont="1" applyBorder="1" applyAlignment="1">
      <alignment horizontal="center"/>
    </xf>
    <xf numFmtId="0" fontId="23" fillId="0" borderId="29" xfId="3" applyFont="1" applyBorder="1" applyAlignment="1">
      <alignment horizontal="center"/>
    </xf>
    <xf numFmtId="0" fontId="23" fillId="0" borderId="28" xfId="3" applyFont="1" applyBorder="1" applyAlignment="1">
      <alignment horizontal="center"/>
    </xf>
    <xf numFmtId="0" fontId="6" fillId="0" borderId="17" xfId="3" applyBorder="1" applyAlignment="1">
      <alignment horizontal="center"/>
    </xf>
    <xf numFmtId="0" fontId="6" fillId="0" borderId="18" xfId="3" applyBorder="1" applyAlignment="1">
      <alignment horizontal="center"/>
    </xf>
    <xf numFmtId="0" fontId="6" fillId="0" borderId="13" xfId="3" applyBorder="1" applyAlignment="1">
      <alignment horizontal="center"/>
    </xf>
    <xf numFmtId="0" fontId="6" fillId="0" borderId="42" xfId="3" applyBorder="1" applyAlignment="1">
      <alignment horizontal="center" textRotation="90"/>
    </xf>
    <xf numFmtId="0" fontId="6" fillId="0" borderId="57" xfId="3" applyBorder="1" applyAlignment="1">
      <alignment horizontal="center" textRotation="90"/>
    </xf>
    <xf numFmtId="0" fontId="23" fillId="0" borderId="7" xfId="3" applyFont="1" applyBorder="1" applyAlignment="1">
      <alignment horizontal="center" wrapText="1"/>
    </xf>
    <xf numFmtId="0" fontId="23" fillId="0" borderId="63" xfId="3" applyFont="1" applyBorder="1" applyAlignment="1">
      <alignment horizontal="center" wrapText="1"/>
    </xf>
    <xf numFmtId="0" fontId="23" fillId="0" borderId="12" xfId="3" applyFont="1" applyBorder="1" applyAlignment="1">
      <alignment horizontal="center" wrapText="1"/>
    </xf>
    <xf numFmtId="0" fontId="6" fillId="0" borderId="43" xfId="3" applyBorder="1" applyAlignment="1">
      <alignment horizontal="center" textRotation="90"/>
    </xf>
    <xf numFmtId="0" fontId="6" fillId="0" borderId="56" xfId="3" applyBorder="1" applyAlignment="1">
      <alignment horizontal="center" textRotation="90"/>
    </xf>
    <xf numFmtId="14" fontId="6" fillId="0" borderId="41" xfId="3" applyNumberFormat="1" applyBorder="1" applyAlignment="1">
      <alignment horizontal="center" textRotation="90"/>
    </xf>
    <xf numFmtId="14" fontId="6" fillId="0" borderId="55" xfId="3" applyNumberFormat="1" applyBorder="1" applyAlignment="1">
      <alignment horizontal="center" textRotation="90"/>
    </xf>
    <xf numFmtId="0" fontId="23" fillId="0" borderId="56" xfId="3" applyFont="1" applyBorder="1" applyAlignment="1">
      <alignment horizontal="center" vertical="top" textRotation="90"/>
    </xf>
    <xf numFmtId="0" fontId="23" fillId="0" borderId="53" xfId="3" applyFont="1" applyBorder="1" applyAlignment="1">
      <alignment horizontal="center" vertical="top" textRotation="90"/>
    </xf>
    <xf numFmtId="0" fontId="23" fillId="0" borderId="55" xfId="3" applyFont="1" applyBorder="1" applyAlignment="1">
      <alignment horizontal="center" vertical="top" textRotation="90"/>
    </xf>
    <xf numFmtId="0" fontId="23" fillId="0" borderId="52" xfId="3" applyFont="1" applyBorder="1" applyAlignment="1">
      <alignment horizontal="center" vertical="top" textRotation="90"/>
    </xf>
    <xf numFmtId="0" fontId="3" fillId="3" borderId="67" xfId="9" applyFill="1" applyBorder="1" applyAlignment="1">
      <alignment horizontal="left"/>
    </xf>
    <xf numFmtId="0" fontId="3" fillId="3" borderId="66" xfId="9" applyFill="1" applyBorder="1" applyAlignment="1">
      <alignment horizontal="left"/>
    </xf>
    <xf numFmtId="0" fontId="3" fillId="3" borderId="65" xfId="9" applyFill="1" applyBorder="1" applyAlignment="1">
      <alignment horizontal="left"/>
    </xf>
    <xf numFmtId="0" fontId="3" fillId="3" borderId="58" xfId="9" applyFill="1" applyBorder="1" applyAlignment="1">
      <alignment horizontal="left"/>
    </xf>
    <xf numFmtId="14" fontId="3" fillId="3" borderId="37" xfId="9" applyNumberFormat="1" applyFill="1" applyBorder="1" applyAlignment="1">
      <alignment horizontal="left"/>
    </xf>
    <xf numFmtId="14" fontId="3" fillId="3" borderId="36" xfId="9" applyNumberFormat="1" applyFill="1" applyBorder="1" applyAlignment="1">
      <alignment horizontal="left"/>
    </xf>
    <xf numFmtId="0" fontId="3" fillId="0" borderId="42" xfId="9" applyBorder="1" applyAlignment="1">
      <alignment horizontal="center" textRotation="90"/>
    </xf>
    <xf numFmtId="0" fontId="3" fillId="0" borderId="57" xfId="9" applyBorder="1" applyAlignment="1">
      <alignment horizontal="center" textRotation="90"/>
    </xf>
    <xf numFmtId="0" fontId="3" fillId="0" borderId="43" xfId="9" applyBorder="1" applyAlignment="1">
      <alignment horizontal="center" textRotation="90"/>
    </xf>
    <xf numFmtId="0" fontId="3" fillId="0" borderId="56" xfId="9" applyBorder="1" applyAlignment="1">
      <alignment horizontal="center" textRotation="90"/>
    </xf>
    <xf numFmtId="14" fontId="3" fillId="0" borderId="41" xfId="9" applyNumberFormat="1" applyBorder="1" applyAlignment="1">
      <alignment horizontal="center" textRotation="90"/>
    </xf>
    <xf numFmtId="14" fontId="3" fillId="0" borderId="55" xfId="9" applyNumberFormat="1" applyBorder="1" applyAlignment="1">
      <alignment horizontal="center" textRotation="90"/>
    </xf>
    <xf numFmtId="0" fontId="23" fillId="0" borderId="57" xfId="9" applyFont="1" applyBorder="1" applyAlignment="1">
      <alignment horizontal="center" vertical="top" textRotation="90"/>
    </xf>
    <xf numFmtId="0" fontId="23" fillId="0" borderId="54" xfId="9" applyFont="1" applyBorder="1" applyAlignment="1">
      <alignment horizontal="center" vertical="top" textRotation="90"/>
    </xf>
    <xf numFmtId="0" fontId="23" fillId="0" borderId="56" xfId="9" applyFont="1" applyBorder="1" applyAlignment="1">
      <alignment horizontal="center" vertical="top" textRotation="90"/>
    </xf>
    <xf numFmtId="0" fontId="23" fillId="0" borderId="53" xfId="9" applyFont="1" applyBorder="1" applyAlignment="1">
      <alignment horizontal="center" vertical="top" textRotation="90"/>
    </xf>
    <xf numFmtId="0" fontId="23" fillId="0" borderId="55" xfId="9" applyFont="1" applyBorder="1" applyAlignment="1">
      <alignment horizontal="center" vertical="top" textRotation="90"/>
    </xf>
    <xf numFmtId="0" fontId="23" fillId="0" borderId="52" xfId="9" applyFont="1" applyBorder="1" applyAlignment="1">
      <alignment horizontal="center" vertical="top" textRotation="90"/>
    </xf>
    <xf numFmtId="0" fontId="4" fillId="0" borderId="43" xfId="7" applyBorder="1" applyAlignment="1">
      <alignment horizontal="center" textRotation="90"/>
    </xf>
    <xf numFmtId="0" fontId="4" fillId="0" borderId="56" xfId="7" applyBorder="1" applyAlignment="1">
      <alignment horizontal="center" textRotation="90"/>
    </xf>
    <xf numFmtId="14" fontId="4" fillId="0" borderId="41" xfId="7" applyNumberFormat="1" applyBorder="1" applyAlignment="1">
      <alignment horizontal="center" textRotation="90"/>
    </xf>
    <xf numFmtId="14" fontId="4" fillId="0" borderId="55" xfId="7" applyNumberFormat="1" applyBorder="1" applyAlignment="1">
      <alignment horizontal="center" textRotation="90"/>
    </xf>
    <xf numFmtId="0" fontId="23" fillId="0" borderId="57" xfId="7" applyFont="1" applyBorder="1" applyAlignment="1">
      <alignment horizontal="center" vertical="top" textRotation="90"/>
    </xf>
    <xf numFmtId="0" fontId="23" fillId="0" borderId="54" xfId="7" applyFont="1" applyBorder="1" applyAlignment="1">
      <alignment horizontal="center" vertical="top" textRotation="90"/>
    </xf>
    <xf numFmtId="0" fontId="23" fillId="0" borderId="56" xfId="7" applyFont="1" applyBorder="1" applyAlignment="1">
      <alignment horizontal="center" vertical="top" textRotation="90"/>
    </xf>
    <xf numFmtId="0" fontId="23" fillId="0" borderId="53" xfId="7" applyFont="1" applyBorder="1" applyAlignment="1">
      <alignment horizontal="center" vertical="top" textRotation="90"/>
    </xf>
    <xf numFmtId="0" fontId="23" fillId="0" borderId="55" xfId="7" applyFont="1" applyBorder="1" applyAlignment="1">
      <alignment horizontal="center" vertical="top" textRotation="90"/>
    </xf>
    <xf numFmtId="0" fontId="23" fillId="0" borderId="52" xfId="7" applyFont="1" applyBorder="1" applyAlignment="1">
      <alignment horizontal="center" vertical="top" textRotation="90"/>
    </xf>
    <xf numFmtId="0" fontId="4" fillId="3" borderId="67" xfId="7" applyFill="1" applyBorder="1" applyAlignment="1">
      <alignment horizontal="left"/>
    </xf>
    <xf numFmtId="0" fontId="4" fillId="3" borderId="66" xfId="7" applyFill="1" applyBorder="1" applyAlignment="1">
      <alignment horizontal="left"/>
    </xf>
    <xf numFmtId="0" fontId="4" fillId="3" borderId="65" xfId="7" applyFill="1" applyBorder="1" applyAlignment="1">
      <alignment horizontal="left"/>
    </xf>
    <xf numFmtId="0" fontId="4" fillId="3" borderId="58" xfId="7" applyFill="1" applyBorder="1" applyAlignment="1">
      <alignment horizontal="left"/>
    </xf>
    <xf numFmtId="14" fontId="4" fillId="3" borderId="37" xfId="7" applyNumberFormat="1" applyFill="1" applyBorder="1" applyAlignment="1">
      <alignment horizontal="left"/>
    </xf>
    <xf numFmtId="14" fontId="4" fillId="3" borderId="36" xfId="7" applyNumberFormat="1" applyFill="1" applyBorder="1" applyAlignment="1">
      <alignment horizontal="left"/>
    </xf>
    <xf numFmtId="0" fontId="4" fillId="0" borderId="42" xfId="7" applyBorder="1" applyAlignment="1">
      <alignment horizontal="center" textRotation="90"/>
    </xf>
    <xf numFmtId="0" fontId="4" fillId="0" borderId="57" xfId="7" applyBorder="1" applyAlignment="1">
      <alignment horizontal="center" textRotation="90"/>
    </xf>
    <xf numFmtId="0" fontId="5" fillId="3" borderId="67" xfId="5" applyFill="1" applyBorder="1" applyAlignment="1">
      <alignment horizontal="left"/>
    </xf>
    <xf numFmtId="0" fontId="5" fillId="3" borderId="66" xfId="5" applyFill="1" applyBorder="1" applyAlignment="1">
      <alignment horizontal="left"/>
    </xf>
    <xf numFmtId="0" fontId="5" fillId="3" borderId="65" xfId="5" applyFill="1" applyBorder="1" applyAlignment="1">
      <alignment horizontal="left"/>
    </xf>
    <xf numFmtId="0" fontId="5" fillId="3" borderId="58" xfId="5" applyFill="1" applyBorder="1" applyAlignment="1">
      <alignment horizontal="left"/>
    </xf>
    <xf numFmtId="14" fontId="5" fillId="3" borderId="37" xfId="5" applyNumberFormat="1" applyFill="1" applyBorder="1" applyAlignment="1">
      <alignment horizontal="left"/>
    </xf>
    <xf numFmtId="14" fontId="5" fillId="3" borderId="36" xfId="5" applyNumberFormat="1" applyFill="1" applyBorder="1" applyAlignment="1">
      <alignment horizontal="left"/>
    </xf>
    <xf numFmtId="0" fontId="5" fillId="0" borderId="42" xfId="5" applyBorder="1" applyAlignment="1">
      <alignment horizontal="center" textRotation="90"/>
    </xf>
    <xf numFmtId="0" fontId="5" fillId="0" borderId="57" xfId="5" applyBorder="1" applyAlignment="1">
      <alignment horizontal="center" textRotation="90"/>
    </xf>
    <xf numFmtId="0" fontId="5" fillId="0" borderId="43" xfId="5" applyBorder="1" applyAlignment="1">
      <alignment horizontal="center" textRotation="90"/>
    </xf>
    <xf numFmtId="0" fontId="5" fillId="0" borderId="56" xfId="5" applyBorder="1" applyAlignment="1">
      <alignment horizontal="center" textRotation="90"/>
    </xf>
    <xf numFmtId="14" fontId="5" fillId="0" borderId="41" xfId="5" applyNumberFormat="1" applyBorder="1" applyAlignment="1">
      <alignment horizontal="center" textRotation="90"/>
    </xf>
    <xf numFmtId="14" fontId="5" fillId="0" borderId="55" xfId="5" applyNumberFormat="1" applyBorder="1" applyAlignment="1">
      <alignment horizontal="center" textRotation="90"/>
    </xf>
    <xf numFmtId="0" fontId="23" fillId="0" borderId="57" xfId="5" applyFont="1" applyBorder="1" applyAlignment="1">
      <alignment horizontal="center" vertical="top" textRotation="90"/>
    </xf>
    <xf numFmtId="0" fontId="23" fillId="0" borderId="54" xfId="5" applyFont="1" applyBorder="1" applyAlignment="1">
      <alignment horizontal="center" vertical="top" textRotation="90"/>
    </xf>
    <xf numFmtId="0" fontId="23" fillId="0" borderId="56" xfId="5" applyFont="1" applyBorder="1" applyAlignment="1">
      <alignment horizontal="center" vertical="top" textRotation="90"/>
    </xf>
    <xf numFmtId="0" fontId="23" fillId="0" borderId="53" xfId="5" applyFont="1" applyBorder="1" applyAlignment="1">
      <alignment horizontal="center" vertical="top" textRotation="90"/>
    </xf>
    <xf numFmtId="0" fontId="23" fillId="0" borderId="55" xfId="5" applyFont="1" applyBorder="1" applyAlignment="1">
      <alignment horizontal="center" vertical="top" textRotation="90"/>
    </xf>
    <xf numFmtId="0" fontId="23" fillId="0" borderId="52" xfId="5" applyFont="1" applyBorder="1" applyAlignment="1">
      <alignment horizontal="center" vertical="top" textRotation="90"/>
    </xf>
    <xf numFmtId="0" fontId="6" fillId="3" borderId="67" xfId="3" applyFill="1" applyBorder="1" applyAlignment="1">
      <alignment horizontal="left"/>
    </xf>
    <xf numFmtId="0" fontId="6" fillId="3" borderId="66" xfId="3" applyFill="1" applyBorder="1" applyAlignment="1">
      <alignment horizontal="left"/>
    </xf>
    <xf numFmtId="0" fontId="6" fillId="3" borderId="65" xfId="3" applyFill="1" applyBorder="1" applyAlignment="1">
      <alignment horizontal="left"/>
    </xf>
    <xf numFmtId="0" fontId="6" fillId="3" borderId="58" xfId="3" applyFill="1" applyBorder="1" applyAlignment="1">
      <alignment horizontal="left"/>
    </xf>
    <xf numFmtId="14" fontId="6" fillId="3" borderId="37" xfId="3" applyNumberFormat="1" applyFill="1" applyBorder="1" applyAlignment="1">
      <alignment horizontal="left"/>
    </xf>
    <xf numFmtId="14" fontId="6" fillId="3" borderId="36" xfId="3" applyNumberFormat="1" applyFill="1" applyBorder="1" applyAlignment="1">
      <alignment horizontal="left"/>
    </xf>
    <xf numFmtId="0" fontId="23" fillId="0" borderId="0" xfId="3" applyFont="1" applyAlignment="1">
      <alignment horizontal="center" vertical="top" textRotation="90"/>
    </xf>
    <xf numFmtId="0" fontId="23" fillId="0" borderId="17" xfId="3" applyFont="1" applyBorder="1" applyAlignment="1">
      <alignment horizontal="center" wrapText="1"/>
    </xf>
    <xf numFmtId="0" fontId="23" fillId="0" borderId="29" xfId="3" applyFont="1" applyBorder="1" applyAlignment="1">
      <alignment horizontal="center" wrapText="1"/>
    </xf>
    <xf numFmtId="0" fontId="23" fillId="0" borderId="19" xfId="3" applyFont="1" applyBorder="1" applyAlignment="1">
      <alignment horizontal="center" wrapText="1"/>
    </xf>
    <xf numFmtId="0" fontId="6" fillId="0" borderId="0" xfId="3" applyAlignment="1">
      <alignment horizontal="center" textRotation="90"/>
    </xf>
    <xf numFmtId="14" fontId="6" fillId="0" borderId="0" xfId="3" applyNumberFormat="1" applyAlignment="1">
      <alignment horizontal="center" textRotation="90"/>
    </xf>
    <xf numFmtId="0" fontId="0" fillId="2" borderId="70" xfId="0" applyFill="1" applyBorder="1" applyAlignment="1" applyProtection="1">
      <alignment horizontal="center"/>
      <protection locked="0"/>
    </xf>
    <xf numFmtId="0" fontId="0" fillId="2" borderId="71" xfId="0" applyFill="1" applyBorder="1" applyAlignment="1" applyProtection="1">
      <alignment horizontal="center"/>
      <protection locked="0"/>
    </xf>
    <xf numFmtId="0" fontId="30" fillId="0" borderId="11" xfId="0" applyFont="1" applyBorder="1" applyAlignment="1">
      <alignment horizontal="center"/>
    </xf>
    <xf numFmtId="0" fontId="28" fillId="0" borderId="0" xfId="0" applyFont="1" applyAlignment="1">
      <alignment horizontal="right" inden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1" fontId="9" fillId="2" borderId="77" xfId="0" applyNumberFormat="1" applyFont="1" applyFill="1" applyBorder="1" applyAlignment="1" applyProtection="1">
      <alignment horizontal="center"/>
      <protection locked="0"/>
    </xf>
    <xf numFmtId="1" fontId="9" fillId="2" borderId="78" xfId="0" applyNumberFormat="1" applyFont="1" applyFill="1" applyBorder="1" applyAlignment="1" applyProtection="1">
      <alignment horizontal="center"/>
      <protection locked="0"/>
    </xf>
    <xf numFmtId="0" fontId="9" fillId="0" borderId="70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74" xfId="0" applyFont="1" applyBorder="1" applyAlignment="1">
      <alignment horizontal="center"/>
    </xf>
    <xf numFmtId="1" fontId="9" fillId="0" borderId="70" xfId="0" applyNumberFormat="1" applyFont="1" applyBorder="1" applyAlignment="1">
      <alignment horizontal="center"/>
    </xf>
    <xf numFmtId="1" fontId="9" fillId="0" borderId="71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164" fontId="9" fillId="2" borderId="77" xfId="0" applyNumberFormat="1" applyFont="1" applyFill="1" applyBorder="1" applyAlignment="1" applyProtection="1">
      <alignment horizontal="center"/>
      <protection locked="0"/>
    </xf>
    <xf numFmtId="164" fontId="9" fillId="2" borderId="78" xfId="0" applyNumberFormat="1" applyFont="1" applyFill="1" applyBorder="1" applyAlignment="1" applyProtection="1">
      <alignment horizontal="center"/>
      <protection locked="0"/>
    </xf>
    <xf numFmtId="167" fontId="9" fillId="2" borderId="75" xfId="0" applyNumberFormat="1" applyFont="1" applyFill="1" applyBorder="1" applyAlignment="1" applyProtection="1">
      <alignment horizontal="center"/>
      <protection locked="0"/>
    </xf>
    <xf numFmtId="167" fontId="9" fillId="2" borderId="76" xfId="0" applyNumberFormat="1" applyFont="1" applyFill="1" applyBorder="1" applyAlignment="1" applyProtection="1">
      <alignment horizontal="center"/>
      <protection locked="0"/>
    </xf>
    <xf numFmtId="166" fontId="9" fillId="2" borderId="77" xfId="0" applyNumberFormat="1" applyFont="1" applyFill="1" applyBorder="1" applyAlignment="1" applyProtection="1">
      <alignment horizontal="center"/>
      <protection locked="0"/>
    </xf>
    <xf numFmtId="166" fontId="9" fillId="2" borderId="78" xfId="0" applyNumberFormat="1" applyFont="1" applyFill="1" applyBorder="1" applyAlignment="1" applyProtection="1">
      <alignment horizontal="center"/>
      <protection locked="0"/>
    </xf>
    <xf numFmtId="0" fontId="8" fillId="0" borderId="70" xfId="0" applyFont="1" applyBorder="1" applyAlignment="1">
      <alignment horizontal="center"/>
    </xf>
    <xf numFmtId="0" fontId="8" fillId="0" borderId="71" xfId="0" applyFont="1" applyBorder="1" applyAlignment="1">
      <alignment horizontal="center"/>
    </xf>
    <xf numFmtId="1" fontId="8" fillId="0" borderId="70" xfId="0" applyNumberFormat="1" applyFont="1" applyBorder="1" applyAlignment="1">
      <alignment horizontal="center"/>
    </xf>
    <xf numFmtId="1" fontId="8" fillId="0" borderId="71" xfId="0" applyNumberFormat="1" applyFont="1" applyBorder="1" applyAlignment="1">
      <alignment horizontal="center"/>
    </xf>
    <xf numFmtId="164" fontId="9" fillId="2" borderId="22" xfId="0" applyNumberFormat="1" applyFont="1" applyFill="1" applyBorder="1" applyAlignment="1" applyProtection="1">
      <alignment horizontal="center"/>
      <protection locked="0"/>
    </xf>
    <xf numFmtId="164" fontId="9" fillId="2" borderId="23" xfId="0" applyNumberFormat="1" applyFont="1" applyFill="1" applyBorder="1" applyAlignment="1" applyProtection="1">
      <alignment horizontal="center"/>
      <protection locked="0"/>
    </xf>
    <xf numFmtId="0" fontId="0" fillId="2" borderId="75" xfId="0" applyFill="1" applyBorder="1" applyAlignment="1" applyProtection="1">
      <alignment horizontal="center"/>
      <protection locked="0"/>
    </xf>
    <xf numFmtId="0" fontId="0" fillId="2" borderId="76" xfId="0" applyFill="1" applyBorder="1" applyAlignment="1" applyProtection="1">
      <alignment horizontal="center"/>
      <protection locked="0"/>
    </xf>
    <xf numFmtId="0" fontId="9" fillId="2" borderId="85" xfId="0" applyFont="1" applyFill="1" applyBorder="1" applyAlignment="1" applyProtection="1">
      <alignment horizontal="center"/>
      <protection locked="0"/>
    </xf>
    <xf numFmtId="0" fontId="9" fillId="2" borderId="86" xfId="0" applyFont="1" applyFill="1" applyBorder="1" applyAlignment="1" applyProtection="1">
      <alignment horizontal="center"/>
      <protection locked="0"/>
    </xf>
    <xf numFmtId="167" fontId="9" fillId="2" borderId="27" xfId="0" applyNumberFormat="1" applyFont="1" applyFill="1" applyBorder="1" applyAlignment="1" applyProtection="1">
      <alignment horizontal="center"/>
      <protection locked="0"/>
    </xf>
    <xf numFmtId="167" fontId="9" fillId="2" borderId="6" xfId="0" applyNumberFormat="1" applyFont="1" applyFill="1" applyBorder="1" applyAlignment="1" applyProtection="1">
      <alignment horizontal="center"/>
      <protection locked="0"/>
    </xf>
  </cellXfs>
  <cellStyles count="45">
    <cellStyle name="Hyperlink" xfId="11" builtinId="8"/>
    <cellStyle name="Normal" xfId="0" builtinId="0"/>
    <cellStyle name="Normal 2" xfId="1" xr:uid="{00000000-0005-0000-0000-000002000000}"/>
    <cellStyle name="Normal 2 2" xfId="13" xr:uid="{00000000-0005-0000-0000-000003000000}"/>
    <cellStyle name="Normal 2 2 2" xfId="35" xr:uid="{00000000-0005-0000-0000-000004000000}"/>
    <cellStyle name="Normal 2 3" xfId="25" xr:uid="{00000000-0005-0000-0000-000005000000}"/>
    <cellStyle name="Normal 3" xfId="3" xr:uid="{00000000-0005-0000-0000-000006000000}"/>
    <cellStyle name="Normal 3 2" xfId="15" xr:uid="{00000000-0005-0000-0000-000007000000}"/>
    <cellStyle name="Normal 3 2 2" xfId="37" xr:uid="{00000000-0005-0000-0000-000008000000}"/>
    <cellStyle name="Normal 3 3" xfId="27" xr:uid="{00000000-0005-0000-0000-000009000000}"/>
    <cellStyle name="Normal 4" xfId="5" xr:uid="{00000000-0005-0000-0000-00000A000000}"/>
    <cellStyle name="Normal 4 2" xfId="17" xr:uid="{00000000-0005-0000-0000-00000B000000}"/>
    <cellStyle name="Normal 4 2 2" xfId="39" xr:uid="{00000000-0005-0000-0000-00000C000000}"/>
    <cellStyle name="Normal 4 3" xfId="29" xr:uid="{00000000-0005-0000-0000-00000D000000}"/>
    <cellStyle name="Normal 5" xfId="7" xr:uid="{00000000-0005-0000-0000-00000E000000}"/>
    <cellStyle name="Normal 5 2" xfId="19" xr:uid="{00000000-0005-0000-0000-00000F000000}"/>
    <cellStyle name="Normal 5 2 2" xfId="41" xr:uid="{00000000-0005-0000-0000-000010000000}"/>
    <cellStyle name="Normal 5 3" xfId="31" xr:uid="{00000000-0005-0000-0000-000011000000}"/>
    <cellStyle name="Normal 6" xfId="9" xr:uid="{00000000-0005-0000-0000-000012000000}"/>
    <cellStyle name="Normal 6 2" xfId="21" xr:uid="{00000000-0005-0000-0000-000013000000}"/>
    <cellStyle name="Normal 6 2 2" xfId="43" xr:uid="{00000000-0005-0000-0000-000014000000}"/>
    <cellStyle name="Normal 6 3" xfId="33" xr:uid="{00000000-0005-0000-0000-000015000000}"/>
    <cellStyle name="Normal 7" xfId="12" xr:uid="{00000000-0005-0000-0000-000016000000}"/>
    <cellStyle name="Normal 8" xfId="24" xr:uid="{00000000-0005-0000-0000-000017000000}"/>
    <cellStyle name="Normal 9" xfId="23" xr:uid="{00000000-0005-0000-0000-000018000000}"/>
    <cellStyle name="Percent 2" xfId="2" xr:uid="{00000000-0005-0000-0000-000019000000}"/>
    <cellStyle name="Percent 2 2" xfId="14" xr:uid="{00000000-0005-0000-0000-00001A000000}"/>
    <cellStyle name="Percent 2 2 2" xfId="36" xr:uid="{00000000-0005-0000-0000-00001B000000}"/>
    <cellStyle name="Percent 2 3" xfId="26" xr:uid="{00000000-0005-0000-0000-00001C000000}"/>
    <cellStyle name="Percent 3" xfId="4" xr:uid="{00000000-0005-0000-0000-00001D000000}"/>
    <cellStyle name="Percent 3 2" xfId="16" xr:uid="{00000000-0005-0000-0000-00001E000000}"/>
    <cellStyle name="Percent 3 2 2" xfId="38" xr:uid="{00000000-0005-0000-0000-00001F000000}"/>
    <cellStyle name="Percent 3 3" xfId="28" xr:uid="{00000000-0005-0000-0000-000020000000}"/>
    <cellStyle name="Percent 4" xfId="6" xr:uid="{00000000-0005-0000-0000-000021000000}"/>
    <cellStyle name="Percent 4 2" xfId="18" xr:uid="{00000000-0005-0000-0000-000022000000}"/>
    <cellStyle name="Percent 4 2 2" xfId="40" xr:uid="{00000000-0005-0000-0000-000023000000}"/>
    <cellStyle name="Percent 4 3" xfId="30" xr:uid="{00000000-0005-0000-0000-000024000000}"/>
    <cellStyle name="Percent 5" xfId="8" xr:uid="{00000000-0005-0000-0000-000025000000}"/>
    <cellStyle name="Percent 5 2" xfId="20" xr:uid="{00000000-0005-0000-0000-000026000000}"/>
    <cellStyle name="Percent 5 2 2" xfId="42" xr:uid="{00000000-0005-0000-0000-000027000000}"/>
    <cellStyle name="Percent 5 3" xfId="32" xr:uid="{00000000-0005-0000-0000-000028000000}"/>
    <cellStyle name="Percent 6" xfId="10" xr:uid="{00000000-0005-0000-0000-000029000000}"/>
    <cellStyle name="Percent 6 2" xfId="22" xr:uid="{00000000-0005-0000-0000-00002A000000}"/>
    <cellStyle name="Percent 6 2 2" xfId="44" xr:uid="{00000000-0005-0000-0000-00002B000000}"/>
    <cellStyle name="Percent 6 3" xfId="34" xr:uid="{00000000-0005-0000-0000-00002C000000}"/>
  </cellStyles>
  <dxfs count="15">
    <dxf>
      <font>
        <b/>
        <i val="0"/>
        <color auto="1"/>
      </font>
      <numFmt numFmtId="169" formatCode="0.0%&quot;*&quot;"/>
      <fill>
        <patternFill patternType="none">
          <bgColor auto="1"/>
        </patternFill>
      </fill>
    </dxf>
    <dxf>
      <font>
        <b/>
        <i val="0"/>
        <color auto="1"/>
      </font>
      <numFmt numFmtId="170" formatCode="0.0%&quot;**&quot;"/>
      <fill>
        <patternFill patternType="none">
          <bgColor auto="1"/>
        </patternFill>
      </fill>
    </dxf>
    <dxf>
      <font>
        <b/>
        <i val="0"/>
        <color auto="1"/>
      </font>
      <numFmt numFmtId="169" formatCode="0.0%&quot;*&quot;"/>
      <fill>
        <patternFill patternType="none">
          <bgColor auto="1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/>
        <i val="0"/>
        <color auto="1"/>
      </font>
      <numFmt numFmtId="169" formatCode="0.0%&quot;*&quot;"/>
      <fill>
        <patternFill patternType="none">
          <bgColor auto="1"/>
        </patternFill>
      </fill>
    </dxf>
    <dxf>
      <font>
        <b/>
        <i val="0"/>
        <color auto="1"/>
      </font>
      <numFmt numFmtId="170" formatCode="0.0%&quot;**&quot;"/>
      <fill>
        <patternFill patternType="none">
          <bgColor auto="1"/>
        </patternFill>
      </fill>
    </dxf>
    <dxf>
      <font>
        <b/>
        <i val="0"/>
        <color auto="1"/>
      </font>
      <numFmt numFmtId="169" formatCode="0.0%&quot;*&quot;"/>
      <fill>
        <patternFill patternType="none">
          <bgColor auto="1"/>
        </patternFill>
      </fill>
    </dxf>
    <dxf>
      <font>
        <b val="0"/>
        <i val="0"/>
        <color theme="1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C0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Coarseness Factor Chart</a:t>
            </a:r>
          </a:p>
        </c:rich>
      </c:tx>
      <c:layout>
        <c:manualLayout>
          <c:xMode val="edge"/>
          <c:yMode val="edge"/>
          <c:x val="0.2840579710144944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34947076702117"/>
          <c:y val="0.12337031734669532"/>
          <c:w val="0.62356014873140342"/>
          <c:h val="0.72625536864710094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Calculation!$T$64</c:f>
              <c:strCache>
                <c:ptCount val="1"/>
                <c:pt idx="0">
                  <c:v>Workability Box</c:v>
                </c:pt>
              </c:strCache>
            </c:strRef>
          </c:tx>
          <c:spPr>
            <a:ln w="22225">
              <a:prstDash val="dash"/>
            </a:ln>
          </c:spPr>
          <c:marker>
            <c:symbol val="none"/>
          </c:marker>
          <c:xVal>
            <c:numRef>
              <c:f>Calculation!$T$65:$T$69</c:f>
              <c:numCache>
                <c:formatCode>0%</c:formatCode>
                <c:ptCount val="5"/>
                <c:pt idx="0">
                  <c:v>0.52</c:v>
                </c:pt>
                <c:pt idx="1">
                  <c:v>0.52</c:v>
                </c:pt>
                <c:pt idx="2">
                  <c:v>0.68</c:v>
                </c:pt>
                <c:pt idx="3">
                  <c:v>0.68</c:v>
                </c:pt>
                <c:pt idx="4">
                  <c:v>0.52</c:v>
                </c:pt>
              </c:numCache>
            </c:numRef>
          </c:xVal>
          <c:yVal>
            <c:numRef>
              <c:f>Calculation!$U$65:$U$69</c:f>
              <c:numCache>
                <c:formatCode>0%</c:formatCode>
                <c:ptCount val="5"/>
                <c:pt idx="0">
                  <c:v>0.34</c:v>
                </c:pt>
                <c:pt idx="1">
                  <c:v>0.38</c:v>
                </c:pt>
                <c:pt idx="2">
                  <c:v>0.36</c:v>
                </c:pt>
                <c:pt idx="3">
                  <c:v>0.32</c:v>
                </c:pt>
                <c:pt idx="4">
                  <c:v>0.34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71-4B4D-A206-B801273A14BF}"/>
            </c:ext>
          </c:extLst>
        </c:ser>
        <c:ser>
          <c:idx val="1"/>
          <c:order val="1"/>
          <c:tx>
            <c:strRef>
              <c:f>Calculation!$T$70</c:f>
              <c:strCache>
                <c:ptCount val="1"/>
                <c:pt idx="0">
                  <c:v>Combined Aggregate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xVal>
            <c:numRef>
              <c:f>Calculation!$T$71</c:f>
              <c:numCache>
                <c:formatCode>0%</c:formatCode>
                <c:ptCount val="1"/>
                <c:pt idx="0">
                  <c:v>0</c:v>
                </c:pt>
              </c:numCache>
            </c:numRef>
          </c:xVal>
          <c:yVal>
            <c:numRef>
              <c:f>Calculation!$U$71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71-4B4D-A206-B801273A14BF}"/>
            </c:ext>
          </c:extLst>
        </c:ser>
        <c:ser>
          <c:idx val="2"/>
          <c:order val="2"/>
          <c:tx>
            <c:strRef>
              <c:f>Calculation!$T$72</c:f>
              <c:strCache>
                <c:ptCount val="1"/>
                <c:pt idx="0">
                  <c:v>Zone Lines</c:v>
                </c:pt>
              </c:strCache>
            </c:strRef>
          </c:tx>
          <c:spPr>
            <a:ln w="19050">
              <a:prstDash val="solid"/>
            </a:ln>
          </c:spPr>
          <c:marker>
            <c:symbol val="none"/>
          </c:marker>
          <c:xVal>
            <c:numRef>
              <c:f>Calculation!$T$73:$T$84</c:f>
              <c:numCache>
                <c:formatCode>0%</c:formatCode>
                <c:ptCount val="12"/>
                <c:pt idx="0">
                  <c:v>0.8</c:v>
                </c:pt>
                <c:pt idx="1">
                  <c:v>0.75</c:v>
                </c:pt>
                <c:pt idx="2">
                  <c:v>0.45</c:v>
                </c:pt>
                <c:pt idx="3">
                  <c:v>0.3</c:v>
                </c:pt>
                <c:pt idx="4">
                  <c:v>0.45</c:v>
                </c:pt>
                <c:pt idx="5">
                  <c:v>0.45</c:v>
                </c:pt>
                <c:pt idx="6">
                  <c:v>0.8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0.45</c:v>
                </c:pt>
                <c:pt idx="11">
                  <c:v>0.3</c:v>
                </c:pt>
              </c:numCache>
            </c:numRef>
          </c:xVal>
          <c:yVal>
            <c:numRef>
              <c:f>Calculation!$U$73:$U$84</c:f>
              <c:numCache>
                <c:formatCode>0%</c:formatCode>
                <c:ptCount val="12"/>
                <c:pt idx="0">
                  <c:v>0.26</c:v>
                </c:pt>
                <c:pt idx="1">
                  <c:v>0.26900000000000002</c:v>
                </c:pt>
                <c:pt idx="2">
                  <c:v>0.32300000000000001</c:v>
                </c:pt>
                <c:pt idx="3">
                  <c:v>0.35</c:v>
                </c:pt>
                <c:pt idx="4">
                  <c:v>0.32300000000000001</c:v>
                </c:pt>
                <c:pt idx="5">
                  <c:v>0.443</c:v>
                </c:pt>
                <c:pt idx="6">
                  <c:v>0.38</c:v>
                </c:pt>
                <c:pt idx="7">
                  <c:v>0.38900000000000001</c:v>
                </c:pt>
                <c:pt idx="8">
                  <c:v>0.26900000000000002</c:v>
                </c:pt>
                <c:pt idx="9">
                  <c:v>0.38900000000000001</c:v>
                </c:pt>
                <c:pt idx="10">
                  <c:v>0.443</c:v>
                </c:pt>
                <c:pt idx="11">
                  <c:v>0.47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D71-4B4D-A206-B801273A14BF}"/>
            </c:ext>
          </c:extLst>
        </c:ser>
        <c:ser>
          <c:idx val="3"/>
          <c:order val="3"/>
          <c:tx>
            <c:strRef>
              <c:f>Calculation!$T$85</c:f>
              <c:strCache>
                <c:ptCount val="1"/>
                <c:pt idx="0">
                  <c:v>SubZones II-a,b,c</c:v>
                </c:pt>
              </c:strCache>
            </c:strRef>
          </c:tx>
          <c:spPr>
            <a:ln w="15875">
              <a:solidFill>
                <a:srgbClr val="98B954"/>
              </a:solidFill>
              <a:prstDash val="sysDash"/>
            </a:ln>
          </c:spPr>
          <c:marker>
            <c:symbol val="none"/>
          </c:marker>
          <c:xVal>
            <c:numRef>
              <c:f>Calculation!$T$86:$T$89</c:f>
              <c:numCache>
                <c:formatCode>0%</c:formatCode>
                <c:ptCount val="4"/>
                <c:pt idx="0">
                  <c:v>0.75</c:v>
                </c:pt>
                <c:pt idx="1">
                  <c:v>0.45</c:v>
                </c:pt>
                <c:pt idx="2">
                  <c:v>0.45</c:v>
                </c:pt>
                <c:pt idx="3">
                  <c:v>0.75</c:v>
                </c:pt>
              </c:numCache>
            </c:numRef>
          </c:xVal>
          <c:yVal>
            <c:numRef>
              <c:f>Calculation!$U$86:$U$89</c:f>
              <c:numCache>
                <c:formatCode>General</c:formatCode>
                <c:ptCount val="4"/>
                <c:pt idx="0">
                  <c:v>0.30499999999999999</c:v>
                </c:pt>
                <c:pt idx="1">
                  <c:v>0.35899999999999999</c:v>
                </c:pt>
                <c:pt idx="2">
                  <c:v>0.39500000000000002</c:v>
                </c:pt>
                <c:pt idx="3">
                  <c:v>0.34100000000000003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D71-4B4D-A206-B801273A1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546048"/>
        <c:axId val="56547968"/>
      </c:scatterChart>
      <c:valAx>
        <c:axId val="56546048"/>
        <c:scaling>
          <c:orientation val="maxMin"/>
          <c:max val="0.8"/>
          <c:min val="0.30000000000000032"/>
        </c:scaling>
        <c:delete val="0"/>
        <c:axPos val="b"/>
        <c:majorGridlines>
          <c:spPr>
            <a:ln w="9525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Coarseness Factor, CF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56547968"/>
        <c:crosses val="autoZero"/>
        <c:crossBetween val="midCat"/>
      </c:valAx>
      <c:valAx>
        <c:axId val="56547968"/>
        <c:scaling>
          <c:orientation val="minMax"/>
          <c:max val="0.5"/>
          <c:min val="0.2"/>
        </c:scaling>
        <c:delete val="0"/>
        <c:axPos val="l"/>
        <c:majorGridlines>
          <c:spPr>
            <a:ln w="9525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Workability Factor, WF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56546048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70142869786384565"/>
          <c:y val="0.52893068648109165"/>
          <c:w val="0.29857130213615507"/>
          <c:h val="0.30027459243650884"/>
        </c:manualLayout>
      </c:layout>
      <c:overlay val="0"/>
      <c:spPr>
        <a:solidFill>
          <a:schemeClr val="bg1"/>
        </a:solidFill>
        <a:ln w="6350">
          <a:solidFill>
            <a:schemeClr val="accent1"/>
          </a:solidFill>
        </a:ln>
      </c:sp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0.45 Power Chart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43285214348206"/>
          <c:y val="0.13585818166171851"/>
          <c:w val="0.80095603674540683"/>
          <c:h val="0.62833475323781263"/>
        </c:manualLayout>
      </c:layout>
      <c:barChart>
        <c:barDir val="col"/>
        <c:grouping val="clustered"/>
        <c:varyColors val="0"/>
        <c:ser>
          <c:idx val="4"/>
          <c:order val="3"/>
          <c:tx>
            <c:strRef>
              <c:f>'Calculation (4)'!$AQ$42</c:f>
              <c:strCache>
                <c:ptCount val="1"/>
                <c:pt idx="0">
                  <c:v>Sieve</c:v>
                </c:pt>
              </c:strCache>
            </c:strRef>
          </c:tx>
          <c:invertIfNegative val="0"/>
          <c:val>
            <c:numRef>
              <c:f>'Calculation (4)'!$AQ$60:$AQ$198</c:f>
              <c:numCache>
                <c:formatCode>General</c:formatCode>
                <c:ptCount val="13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 formatCode="0%">
                  <c:v>1</c:v>
                </c:pt>
                <c:pt idx="8">
                  <c:v>#N/A</c:v>
                </c:pt>
                <c:pt idx="9">
                  <c:v>#N/A</c:v>
                </c:pt>
                <c:pt idx="10" formatCode="0%">
                  <c:v>1</c:v>
                </c:pt>
                <c:pt idx="11">
                  <c:v>#N/A</c:v>
                </c:pt>
                <c:pt idx="12">
                  <c:v>#N/A</c:v>
                </c:pt>
                <c:pt idx="13" formatCode="0%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0%">
                  <c:v>1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 formatCode="0%">
                  <c:v>1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 formatCode="0%">
                  <c:v>1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 formatCode="0%">
                  <c:v>1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 formatCode="0%">
                  <c:v>1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 formatCode="0%">
                  <c:v>1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 formatCode="0%">
                  <c:v>1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 formatCode="0%">
                  <c:v>1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 formatCode="0%">
                  <c:v>1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 formatCode="0%">
                  <c:v>1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FB-487D-838D-D160D2079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50698112"/>
        <c:axId val="50700288"/>
      </c:barChart>
      <c:lineChart>
        <c:grouping val="standard"/>
        <c:varyColors val="0"/>
        <c:ser>
          <c:idx val="3"/>
          <c:order val="0"/>
          <c:tx>
            <c:strRef>
              <c:f>'Calculation (4)'!$AP$42</c:f>
              <c:strCache>
                <c:ptCount val="1"/>
                <c:pt idx="0">
                  <c:v>High</c:v>
                </c:pt>
              </c:strCache>
            </c:strRef>
          </c:tx>
          <c:spPr>
            <a:ln w="15875">
              <a:prstDash val="dash"/>
            </a:ln>
          </c:spPr>
          <c:marker>
            <c:symbol val="none"/>
          </c:marker>
          <c:cat>
            <c:strRef>
              <c:f>'Calculation (4)'!$AL$60:$AL$198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(4)'!$AP$60:$AP$198</c:f>
              <c:numCache>
                <c:formatCode>0%</c:formatCode>
                <c:ptCount val="139"/>
                <c:pt idx="0">
                  <c:v>7.0000000000000007E-2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B-487D-838D-D160D2079AEE}"/>
            </c:ext>
          </c:extLst>
        </c:ser>
        <c:ser>
          <c:idx val="1"/>
          <c:order val="1"/>
          <c:tx>
            <c:strRef>
              <c:f>'Calculation (4)'!$AM$42</c:f>
              <c:strCache>
                <c:ptCount val="1"/>
                <c:pt idx="0">
                  <c:v>#REF!</c:v>
                </c:pt>
              </c:strCache>
            </c:strRef>
          </c:tx>
          <c:marker>
            <c:symbol val="square"/>
            <c:size val="5"/>
          </c:marker>
          <c:cat>
            <c:strRef>
              <c:f>'Calculation (4)'!$AL$60:$AL$198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(4)'!$AM$60:$AM$198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0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0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0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0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FB-487D-838D-D160D2079AEE}"/>
            </c:ext>
          </c:extLst>
        </c:ser>
        <c:ser>
          <c:idx val="0"/>
          <c:order val="2"/>
          <c:tx>
            <c:strRef>
              <c:f>'Calculation (4)'!$AN$42</c:f>
              <c:strCache>
                <c:ptCount val="1"/>
                <c:pt idx="0">
                  <c:v>Power Chart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strRef>
              <c:f>'Calculation (4)'!$AL$60:$AL$198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(4)'!$AN$60:$AN$198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FB-487D-838D-D160D2079AEE}"/>
            </c:ext>
          </c:extLst>
        </c:ser>
        <c:ser>
          <c:idx val="2"/>
          <c:order val="4"/>
          <c:tx>
            <c:strRef>
              <c:f>'Calculation (4)'!$AO$42</c:f>
              <c:strCache>
                <c:ptCount val="1"/>
                <c:pt idx="0">
                  <c:v>Low</c:v>
                </c:pt>
              </c:strCache>
            </c:strRef>
          </c:tx>
          <c:spPr>
            <a:ln w="15875">
              <a:prstDash val="dash"/>
            </a:ln>
          </c:spPr>
          <c:marker>
            <c:symbol val="none"/>
          </c:marker>
          <c:cat>
            <c:strRef>
              <c:f>'Calculation (4)'!$AL$60:$AL$198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(4)'!$AO$60:$AO$198</c:f>
              <c:numCache>
                <c:formatCode>0%</c:formatCode>
                <c:ptCount val="139"/>
                <c:pt idx="0">
                  <c:v>-7.0000000000000007E-2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FB-487D-838D-D160D2079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98112"/>
        <c:axId val="50700288"/>
      </c:lineChart>
      <c:catAx>
        <c:axId val="5069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Sieve Size</a:t>
                </a:r>
                <a:r>
                  <a:rPr lang="en-US" baseline="0"/>
                  <a:t>  (Opening to the 0.45 power)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0700288"/>
        <c:crosses val="autoZero"/>
        <c:auto val="1"/>
        <c:lblAlgn val="ctr"/>
        <c:lblOffset val="100"/>
        <c:noMultiLvlLbl val="0"/>
      </c:catAx>
      <c:valAx>
        <c:axId val="50700288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Passing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0698112"/>
        <c:crosses val="autoZero"/>
        <c:crossBetween val="between"/>
      </c:valAx>
    </c:plotArea>
    <c:legend>
      <c:legendPos val="r"/>
      <c:legendEntry>
        <c:idx val="0"/>
        <c:delete val="1"/>
      </c:legendEntry>
      <c:overlay val="0"/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span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0.45 Power Chart (Best Fit Example)</a:t>
            </a:r>
          </a:p>
        </c:rich>
      </c:tx>
      <c:layout>
        <c:manualLayout>
          <c:xMode val="edge"/>
          <c:yMode val="edge"/>
          <c:x val="0.18088299488879694"/>
          <c:y val="2.62295081967213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43285214348206"/>
          <c:y val="0.13585818166171851"/>
          <c:w val="0.80095603674540683"/>
          <c:h val="0.62833475323781263"/>
        </c:manualLayout>
      </c:layout>
      <c:lineChart>
        <c:grouping val="standard"/>
        <c:varyColors val="0"/>
        <c:ser>
          <c:idx val="3"/>
          <c:order val="0"/>
          <c:tx>
            <c:strRef>
              <c:f>'Calculation (3)'!$AW$42</c:f>
              <c:strCache>
                <c:ptCount val="1"/>
                <c:pt idx="0">
                  <c:v>High</c:v>
                </c:pt>
              </c:strCache>
            </c:strRef>
          </c:tx>
          <c:spPr>
            <a:ln w="15875">
              <a:prstDash val="dash"/>
            </a:ln>
          </c:spPr>
          <c:marker>
            <c:symbol val="none"/>
          </c:marker>
          <c:cat>
            <c:strRef>
              <c:f>'Calculation (3)'!$AL$60:$AL$198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(3)'!$AW$60:$AW$198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0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0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0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0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D-4835-8ADE-900F9260748B}"/>
            </c:ext>
          </c:extLst>
        </c:ser>
        <c:ser>
          <c:idx val="1"/>
          <c:order val="1"/>
          <c:tx>
            <c:strRef>
              <c:f>'Calculation (3)'!$AM$42</c:f>
              <c:strCache>
                <c:ptCount val="1"/>
                <c:pt idx="0">
                  <c:v>#REF!</c:v>
                </c:pt>
              </c:strCache>
            </c:strRef>
          </c:tx>
          <c:marker>
            <c:symbol val="square"/>
            <c:size val="5"/>
          </c:marker>
          <c:cat>
            <c:strRef>
              <c:f>'Calculation (3)'!$AL$60:$AL$198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(3)'!$AM$60:$AM$198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0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0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0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0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D-4835-8ADE-900F9260748B}"/>
            </c:ext>
          </c:extLst>
        </c:ser>
        <c:ser>
          <c:idx val="0"/>
          <c:order val="2"/>
          <c:tx>
            <c:strRef>
              <c:f>'Calculation (3)'!$AU$42</c:f>
              <c:strCache>
                <c:ptCount val="1"/>
                <c:pt idx="0">
                  <c:v>Best Fit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strRef>
              <c:f>'Calculation (3)'!$AL$60:$AL$198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(3)'!$AU$60:$AU$198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0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0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0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0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CD-4835-8ADE-900F9260748B}"/>
            </c:ext>
          </c:extLst>
        </c:ser>
        <c:ser>
          <c:idx val="2"/>
          <c:order val="3"/>
          <c:tx>
            <c:strRef>
              <c:f>'Calculation (3)'!$AV$42</c:f>
              <c:strCache>
                <c:ptCount val="1"/>
                <c:pt idx="0">
                  <c:v>Low</c:v>
                </c:pt>
              </c:strCache>
            </c:strRef>
          </c:tx>
          <c:spPr>
            <a:ln w="15875">
              <a:prstDash val="dash"/>
            </a:ln>
          </c:spPr>
          <c:marker>
            <c:symbol val="none"/>
          </c:marker>
          <c:cat>
            <c:strRef>
              <c:f>'Calculation (3)'!$AL$60:$AL$198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(3)'!$AV$60:$AV$198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0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0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0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0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CD-4835-8ADE-900F92607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21152"/>
        <c:axId val="50723072"/>
      </c:lineChart>
      <c:catAx>
        <c:axId val="5072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Sieve Size</a:t>
                </a:r>
                <a:r>
                  <a:rPr lang="en-US" baseline="0"/>
                  <a:t>  (Opening to the 0.45 power)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0723072"/>
        <c:crosses val="autoZero"/>
        <c:auto val="1"/>
        <c:lblAlgn val="ctr"/>
        <c:lblOffset val="100"/>
        <c:noMultiLvlLbl val="0"/>
      </c:catAx>
      <c:valAx>
        <c:axId val="50723072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Passing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0721152"/>
        <c:crosses val="autoZero"/>
        <c:crossBetween val="between"/>
      </c:valAx>
    </c:plotArea>
    <c:legend>
      <c:legendPos val="r"/>
      <c:overlay val="0"/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span"/>
    <c:showDLblsOverMax val="0"/>
  </c:chart>
  <c:printSettings>
    <c:headerFooter/>
    <c:pageMargins b="0.75000000000000433" l="0.70000000000000062" r="0.70000000000000062" t="0.75000000000000433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Coarseness Factor Chart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4947076702117"/>
          <c:y val="0.12337031734669532"/>
          <c:w val="0.6235601487314032"/>
          <c:h val="0.72625536864710094"/>
        </c:manualLayout>
      </c:layout>
      <c:scatterChart>
        <c:scatterStyle val="lineMarker"/>
        <c:varyColors val="0"/>
        <c:ser>
          <c:idx val="0"/>
          <c:order val="0"/>
          <c:spPr>
            <a:ln w="22225">
              <a:prstDash val="dash"/>
            </a:ln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6FA-46FA-A1DE-90AE876AC22C}"/>
            </c:ext>
          </c:extLst>
        </c:ser>
        <c:ser>
          <c:idx val="1"/>
          <c:order val="1"/>
          <c:spPr>
            <a:ln>
              <a:noFill/>
            </a:ln>
          </c:spPr>
          <c:marker>
            <c:symbol val="circle"/>
            <c:size val="7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6FA-46FA-A1DE-90AE876AC22C}"/>
            </c:ext>
          </c:extLst>
        </c:ser>
        <c:ser>
          <c:idx val="2"/>
          <c:order val="2"/>
          <c:spPr>
            <a:ln w="19050">
              <a:prstDash val="solid"/>
            </a:ln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6FA-46FA-A1DE-90AE876AC22C}"/>
            </c:ext>
          </c:extLst>
        </c:ser>
        <c:ser>
          <c:idx val="3"/>
          <c:order val="3"/>
          <c:spPr>
            <a:ln w="15875">
              <a:solidFill>
                <a:srgbClr val="98B954"/>
              </a:solidFill>
              <a:prstDash val="sysDash"/>
            </a:ln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46FA-46FA-A1DE-90AE876AC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46880"/>
        <c:axId val="50748800"/>
      </c:scatterChart>
      <c:valAx>
        <c:axId val="50746880"/>
        <c:scaling>
          <c:orientation val="maxMin"/>
          <c:max val="0.8"/>
          <c:min val="0.30000000000000032"/>
        </c:scaling>
        <c:delete val="0"/>
        <c:axPos val="b"/>
        <c:majorGridlines>
          <c:spPr>
            <a:ln w="9525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Coarseness Factor, CF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748800"/>
        <c:crosses val="autoZero"/>
        <c:crossBetween val="midCat"/>
      </c:valAx>
      <c:valAx>
        <c:axId val="50748800"/>
        <c:scaling>
          <c:orientation val="minMax"/>
          <c:max val="0.45"/>
          <c:min val="0.2"/>
        </c:scaling>
        <c:delete val="0"/>
        <c:axPos val="l"/>
        <c:majorGridlines>
          <c:spPr>
            <a:ln w="9525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Workability Factor, WF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746880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72906831732738664"/>
          <c:y val="0.40874303615273638"/>
          <c:w val="0.2709317124833065"/>
          <c:h val="0.2739835361488904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 orientation="portrait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Retained Chart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0563926877561439"/>
          <c:y val="8.9303109838542907E-2"/>
          <c:w val="0.65989280287333096"/>
          <c:h val="0.67576393859859385"/>
        </c:manualLayout>
      </c:layout>
      <c:lineChart>
        <c:grouping val="standard"/>
        <c:varyColors val="0"/>
        <c:ser>
          <c:idx val="2"/>
          <c:order val="0"/>
          <c:spPr>
            <a:ln w="22225">
              <a:prstDash val="dash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8F0-420D-BBFA-8A7B18B72E53}"/>
            </c:ext>
          </c:extLst>
        </c:ser>
        <c:ser>
          <c:idx val="0"/>
          <c:order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8F0-420D-BBFA-8A7B18B72E53}"/>
            </c:ext>
          </c:extLst>
        </c:ser>
        <c:ser>
          <c:idx val="1"/>
          <c:order val="2"/>
          <c:spPr>
            <a:ln w="22225">
              <a:prstDash val="dashDot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8F0-420D-BBFA-8A7B18B72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78880"/>
        <c:axId val="50780800"/>
      </c:lineChart>
      <c:catAx>
        <c:axId val="5077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Sieve Size</a:t>
                </a:r>
              </a:p>
            </c:rich>
          </c:tx>
          <c:layout>
            <c:manualLayout>
              <c:xMode val="edge"/>
              <c:yMode val="edge"/>
              <c:x val="0.38128157664502482"/>
              <c:y val="0.926444285373419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0780800"/>
        <c:crosses val="autoZero"/>
        <c:auto val="1"/>
        <c:lblAlgn val="ctr"/>
        <c:lblOffset val="100"/>
        <c:tickLblSkip val="1"/>
        <c:noMultiLvlLbl val="0"/>
      </c:catAx>
      <c:valAx>
        <c:axId val="50780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Retained on Sieve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0778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0.45 Power Chart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43285214348206"/>
          <c:y val="0.13585818166171851"/>
          <c:w val="0.80095603674540683"/>
          <c:h val="0.62833475323781263"/>
        </c:manualLayout>
      </c:layout>
      <c:lineChart>
        <c:grouping val="standard"/>
        <c:varyColors val="0"/>
        <c:ser>
          <c:idx val="3"/>
          <c:order val="0"/>
          <c:spPr>
            <a:ln w="15875">
              <a:prstDash val="dash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B62-4A1B-9E76-EA690B8609ED}"/>
            </c:ext>
          </c:extLst>
        </c:ser>
        <c:ser>
          <c:idx val="1"/>
          <c:order val="1"/>
          <c:marker>
            <c:symbol val="square"/>
            <c:size val="5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B62-4A1B-9E76-EA690B8609ED}"/>
            </c:ext>
          </c:extLst>
        </c:ser>
        <c:ser>
          <c:idx val="0"/>
          <c:order val="2"/>
          <c:spPr>
            <a:ln w="15875"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B62-4A1B-9E76-EA690B8609ED}"/>
            </c:ext>
          </c:extLst>
        </c:ser>
        <c:ser>
          <c:idx val="2"/>
          <c:order val="3"/>
          <c:spPr>
            <a:ln w="15875">
              <a:prstDash val="dash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5B62-4A1B-9E76-EA690B860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65664"/>
        <c:axId val="50867584"/>
      </c:lineChart>
      <c:catAx>
        <c:axId val="50865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Sieve Size</a:t>
                </a:r>
                <a:r>
                  <a:rPr lang="en-US" baseline="0"/>
                  <a:t>  (Opening to the 0.45 power)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0867584"/>
        <c:crosses val="autoZero"/>
        <c:auto val="1"/>
        <c:lblAlgn val="ctr"/>
        <c:lblOffset val="100"/>
        <c:noMultiLvlLbl val="0"/>
      </c:catAx>
      <c:valAx>
        <c:axId val="50867584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Passing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0865664"/>
        <c:crosses val="autoZero"/>
        <c:crossBetween val="between"/>
      </c:valAx>
    </c:plotArea>
    <c:legend>
      <c:legendPos val="r"/>
      <c:overlay val="0"/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span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Coarseness Factor Chart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4947076702117"/>
          <c:y val="0.12337031734669532"/>
          <c:w val="0.6235601487314032"/>
          <c:h val="0.72625536864710094"/>
        </c:manualLayout>
      </c:layout>
      <c:scatterChart>
        <c:scatterStyle val="lineMarker"/>
        <c:varyColors val="0"/>
        <c:ser>
          <c:idx val="0"/>
          <c:order val="0"/>
          <c:tx>
            <c:strRef>
              <c:f>'Calculation (3)'!$T$64</c:f>
              <c:strCache>
                <c:ptCount val="1"/>
                <c:pt idx="0">
                  <c:v>Workability Box</c:v>
                </c:pt>
              </c:strCache>
            </c:strRef>
          </c:tx>
          <c:spPr>
            <a:ln w="22225">
              <a:prstDash val="dash"/>
            </a:ln>
          </c:spPr>
          <c:marker>
            <c:symbol val="none"/>
          </c:marker>
          <c:xVal>
            <c:numRef>
              <c:f>'Calculation (3)'!$T$65:$T$69</c:f>
              <c:numCache>
                <c:formatCode>0%</c:formatCode>
                <c:ptCount val="5"/>
                <c:pt idx="0">
                  <c:v>0.52</c:v>
                </c:pt>
                <c:pt idx="1">
                  <c:v>0.52</c:v>
                </c:pt>
                <c:pt idx="2">
                  <c:v>0.68</c:v>
                </c:pt>
                <c:pt idx="3">
                  <c:v>0.68</c:v>
                </c:pt>
                <c:pt idx="4">
                  <c:v>0.52</c:v>
                </c:pt>
              </c:numCache>
            </c:numRef>
          </c:xVal>
          <c:yVal>
            <c:numRef>
              <c:f>'Calculation (3)'!$U$65:$U$69</c:f>
              <c:numCache>
                <c:formatCode>0%</c:formatCode>
                <c:ptCount val="5"/>
                <c:pt idx="0">
                  <c:v>0.34</c:v>
                </c:pt>
                <c:pt idx="1">
                  <c:v>0.38</c:v>
                </c:pt>
                <c:pt idx="2">
                  <c:v>0.36</c:v>
                </c:pt>
                <c:pt idx="3">
                  <c:v>0.32</c:v>
                </c:pt>
                <c:pt idx="4">
                  <c:v>0.34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CB-4B73-A941-5B235195D9E2}"/>
            </c:ext>
          </c:extLst>
        </c:ser>
        <c:ser>
          <c:idx val="1"/>
          <c:order val="1"/>
          <c:tx>
            <c:strRef>
              <c:f>'Calculation (3)'!$T$70</c:f>
              <c:strCache>
                <c:ptCount val="1"/>
                <c:pt idx="0">
                  <c:v>Combined Aggregate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xVal>
            <c:numRef>
              <c:f>'Calculation (3)'!$T$71</c:f>
              <c:numCache>
                <c:formatCode>0%</c:formatCode>
                <c:ptCount val="1"/>
                <c:pt idx="0">
                  <c:v>0</c:v>
                </c:pt>
              </c:numCache>
            </c:numRef>
          </c:xVal>
          <c:yVal>
            <c:numRef>
              <c:f>'Calculation (3)'!$U$71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CB-4B73-A941-5B235195D9E2}"/>
            </c:ext>
          </c:extLst>
        </c:ser>
        <c:ser>
          <c:idx val="2"/>
          <c:order val="2"/>
          <c:tx>
            <c:strRef>
              <c:f>'Calculation (3)'!$T$72</c:f>
              <c:strCache>
                <c:ptCount val="1"/>
                <c:pt idx="0">
                  <c:v>Zone Lines</c:v>
                </c:pt>
              </c:strCache>
            </c:strRef>
          </c:tx>
          <c:spPr>
            <a:ln w="19050">
              <a:prstDash val="solid"/>
            </a:ln>
          </c:spPr>
          <c:marker>
            <c:symbol val="none"/>
          </c:marker>
          <c:xVal>
            <c:numRef>
              <c:f>'Calculation (3)'!$T$73:$T$84</c:f>
              <c:numCache>
                <c:formatCode>0%</c:formatCode>
                <c:ptCount val="12"/>
                <c:pt idx="0">
                  <c:v>0.8</c:v>
                </c:pt>
                <c:pt idx="1">
                  <c:v>0.75</c:v>
                </c:pt>
                <c:pt idx="2">
                  <c:v>0.45</c:v>
                </c:pt>
                <c:pt idx="3">
                  <c:v>0.3</c:v>
                </c:pt>
                <c:pt idx="4">
                  <c:v>0.45</c:v>
                </c:pt>
                <c:pt idx="5">
                  <c:v>0.45</c:v>
                </c:pt>
                <c:pt idx="6">
                  <c:v>0.8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0.45</c:v>
                </c:pt>
                <c:pt idx="11">
                  <c:v>0.3</c:v>
                </c:pt>
              </c:numCache>
            </c:numRef>
          </c:xVal>
          <c:yVal>
            <c:numRef>
              <c:f>'Calculation (3)'!$U$73:$U$84</c:f>
              <c:numCache>
                <c:formatCode>0%</c:formatCode>
                <c:ptCount val="12"/>
                <c:pt idx="0">
                  <c:v>0.26</c:v>
                </c:pt>
                <c:pt idx="1">
                  <c:v>0.26900000000000002</c:v>
                </c:pt>
                <c:pt idx="2">
                  <c:v>0.32300000000000001</c:v>
                </c:pt>
                <c:pt idx="3">
                  <c:v>0.35</c:v>
                </c:pt>
                <c:pt idx="4">
                  <c:v>0.32300000000000001</c:v>
                </c:pt>
                <c:pt idx="5">
                  <c:v>0.443</c:v>
                </c:pt>
                <c:pt idx="6">
                  <c:v>0.38</c:v>
                </c:pt>
                <c:pt idx="7">
                  <c:v>0.38900000000000001</c:v>
                </c:pt>
                <c:pt idx="8">
                  <c:v>0.26900000000000002</c:v>
                </c:pt>
                <c:pt idx="9">
                  <c:v>0.38900000000000001</c:v>
                </c:pt>
                <c:pt idx="10">
                  <c:v>0.443</c:v>
                </c:pt>
                <c:pt idx="11">
                  <c:v>0.47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CB-4B73-A941-5B235195D9E2}"/>
            </c:ext>
          </c:extLst>
        </c:ser>
        <c:ser>
          <c:idx val="3"/>
          <c:order val="3"/>
          <c:tx>
            <c:strRef>
              <c:f>'Calculation (3)'!$T$85</c:f>
              <c:strCache>
                <c:ptCount val="1"/>
                <c:pt idx="0">
                  <c:v>SubZones II-a,b,c</c:v>
                </c:pt>
              </c:strCache>
            </c:strRef>
          </c:tx>
          <c:spPr>
            <a:ln w="15875">
              <a:solidFill>
                <a:srgbClr val="98B954"/>
              </a:solidFill>
              <a:prstDash val="sysDash"/>
            </a:ln>
          </c:spPr>
          <c:marker>
            <c:symbol val="none"/>
          </c:marker>
          <c:xVal>
            <c:numRef>
              <c:f>'Calculation (3)'!$T$86:$T$89</c:f>
              <c:numCache>
                <c:formatCode>0%</c:formatCode>
                <c:ptCount val="4"/>
                <c:pt idx="0">
                  <c:v>0.75</c:v>
                </c:pt>
                <c:pt idx="1">
                  <c:v>0.45</c:v>
                </c:pt>
                <c:pt idx="2">
                  <c:v>0.45</c:v>
                </c:pt>
                <c:pt idx="3">
                  <c:v>0.75</c:v>
                </c:pt>
              </c:numCache>
            </c:numRef>
          </c:xVal>
          <c:yVal>
            <c:numRef>
              <c:f>'Calculation (3)'!$U$86:$U$89</c:f>
              <c:numCache>
                <c:formatCode>General</c:formatCode>
                <c:ptCount val="4"/>
                <c:pt idx="0">
                  <c:v>0.30499999999999999</c:v>
                </c:pt>
                <c:pt idx="1">
                  <c:v>0.35899999999999999</c:v>
                </c:pt>
                <c:pt idx="2">
                  <c:v>0.39500000000000002</c:v>
                </c:pt>
                <c:pt idx="3">
                  <c:v>0.34100000000000003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CB-4B73-A941-5B235195D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91392"/>
        <c:axId val="50893568"/>
      </c:scatterChart>
      <c:valAx>
        <c:axId val="50891392"/>
        <c:scaling>
          <c:orientation val="maxMin"/>
          <c:max val="0.8"/>
          <c:min val="0.30000000000000032"/>
        </c:scaling>
        <c:delete val="0"/>
        <c:axPos val="b"/>
        <c:majorGridlines>
          <c:spPr>
            <a:ln w="9525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Coarseness Factor, CF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50893568"/>
        <c:crosses val="autoZero"/>
        <c:crossBetween val="midCat"/>
      </c:valAx>
      <c:valAx>
        <c:axId val="50893568"/>
        <c:scaling>
          <c:orientation val="minMax"/>
          <c:max val="0.45"/>
          <c:min val="0.2"/>
        </c:scaling>
        <c:delete val="0"/>
        <c:axPos val="l"/>
        <c:majorGridlines>
          <c:spPr>
            <a:ln w="9525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Workability Factor, WF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50891392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72906831732738664"/>
          <c:y val="0.40874303615273638"/>
          <c:w val="0.2709317124833065"/>
          <c:h val="0.2739835361488904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 orientation="portrait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Retained Chart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0563926877561439"/>
          <c:y val="8.9303109838542907E-2"/>
          <c:w val="0.65989280287333096"/>
          <c:h val="0.67576393859859385"/>
        </c:manualLayout>
      </c:layout>
      <c:lineChart>
        <c:grouping val="standard"/>
        <c:varyColors val="0"/>
        <c:ser>
          <c:idx val="2"/>
          <c:order val="0"/>
          <c:tx>
            <c:strRef>
              <c:f>'Calculation (3)'!$Z$64</c:f>
              <c:strCache>
                <c:ptCount val="1"/>
                <c:pt idx="0">
                  <c:v>High</c:v>
                </c:pt>
              </c:strCache>
            </c:strRef>
          </c:tx>
          <c:spPr>
            <a:ln w="22225">
              <a:prstDash val="dash"/>
            </a:ln>
          </c:spPr>
          <c:marker>
            <c:symbol val="none"/>
          </c:marker>
          <c:cat>
            <c:strRef>
              <c:f>'Calculation (3)'!$W$65:$W$77</c:f>
              <c:strCache>
                <c:ptCount val="13"/>
                <c:pt idx="0">
                  <c:v>2 in.</c:v>
                </c:pt>
                <c:pt idx="1">
                  <c:v>1 1/2 in.</c:v>
                </c:pt>
                <c:pt idx="2">
                  <c:v>1 in.</c:v>
                </c:pt>
                <c:pt idx="3">
                  <c:v>3/4 in.</c:v>
                </c:pt>
                <c:pt idx="4">
                  <c:v>1/2 in.</c:v>
                </c:pt>
                <c:pt idx="5">
                  <c:v>3/8 in.</c:v>
                </c:pt>
                <c:pt idx="6">
                  <c:v>No. 4</c:v>
                </c:pt>
                <c:pt idx="7">
                  <c:v>No. 8</c:v>
                </c:pt>
                <c:pt idx="8">
                  <c:v>No. 16</c:v>
                </c:pt>
                <c:pt idx="9">
                  <c:v>No. 30</c:v>
                </c:pt>
                <c:pt idx="10">
                  <c:v>No. 50</c:v>
                </c:pt>
                <c:pt idx="11">
                  <c:v>No. 100</c:v>
                </c:pt>
                <c:pt idx="12">
                  <c:v>No. 200</c:v>
                </c:pt>
              </c:strCache>
            </c:strRef>
          </c:cat>
          <c:val>
            <c:numRef>
              <c:f>'Calculation (3)'!$Z$65:$Z$77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0.15</c:v>
                </c:pt>
                <c:pt idx="10">
                  <c:v>0.15</c:v>
                </c:pt>
                <c:pt idx="11">
                  <c:v>7.4999999999999997E-2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5-466B-9D37-0BB9A26F70A8}"/>
            </c:ext>
          </c:extLst>
        </c:ser>
        <c:ser>
          <c:idx val="0"/>
          <c:order val="1"/>
          <c:tx>
            <c:strRef>
              <c:f>'Calculation (3)'!$X$64</c:f>
              <c:strCache>
                <c:ptCount val="1"/>
                <c:pt idx="0">
                  <c:v>% Retained</c:v>
                </c:pt>
              </c:strCache>
            </c:strRef>
          </c:tx>
          <c:cat>
            <c:strRef>
              <c:f>'Calculation (3)'!$W$65:$W$77</c:f>
              <c:strCache>
                <c:ptCount val="13"/>
                <c:pt idx="0">
                  <c:v>2 in.</c:v>
                </c:pt>
                <c:pt idx="1">
                  <c:v>1 1/2 in.</c:v>
                </c:pt>
                <c:pt idx="2">
                  <c:v>1 in.</c:v>
                </c:pt>
                <c:pt idx="3">
                  <c:v>3/4 in.</c:v>
                </c:pt>
                <c:pt idx="4">
                  <c:v>1/2 in.</c:v>
                </c:pt>
                <c:pt idx="5">
                  <c:v>3/8 in.</c:v>
                </c:pt>
                <c:pt idx="6">
                  <c:v>No. 4</c:v>
                </c:pt>
                <c:pt idx="7">
                  <c:v>No. 8</c:v>
                </c:pt>
                <c:pt idx="8">
                  <c:v>No. 16</c:v>
                </c:pt>
                <c:pt idx="9">
                  <c:v>No. 30</c:v>
                </c:pt>
                <c:pt idx="10">
                  <c:v>No. 50</c:v>
                </c:pt>
                <c:pt idx="11">
                  <c:v>No. 100</c:v>
                </c:pt>
                <c:pt idx="12">
                  <c:v>No. 200</c:v>
                </c:pt>
              </c:strCache>
            </c:strRef>
          </c:cat>
          <c:val>
            <c:numRef>
              <c:f>'Calculation (3)'!$X$65:$X$77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5-466B-9D37-0BB9A26F70A8}"/>
            </c:ext>
          </c:extLst>
        </c:ser>
        <c:ser>
          <c:idx val="1"/>
          <c:order val="2"/>
          <c:tx>
            <c:strRef>
              <c:f>'Calculation (3)'!$Y$64</c:f>
              <c:strCache>
                <c:ptCount val="1"/>
                <c:pt idx="0">
                  <c:v>Low</c:v>
                </c:pt>
              </c:strCache>
            </c:strRef>
          </c:tx>
          <c:spPr>
            <a:ln w="22225">
              <a:prstDash val="dashDot"/>
            </a:ln>
          </c:spPr>
          <c:marker>
            <c:symbol val="none"/>
          </c:marker>
          <c:cat>
            <c:strRef>
              <c:f>'Calculation (3)'!$W$65:$W$77</c:f>
              <c:strCache>
                <c:ptCount val="13"/>
                <c:pt idx="0">
                  <c:v>2 in.</c:v>
                </c:pt>
                <c:pt idx="1">
                  <c:v>1 1/2 in.</c:v>
                </c:pt>
                <c:pt idx="2">
                  <c:v>1 in.</c:v>
                </c:pt>
                <c:pt idx="3">
                  <c:v>3/4 in.</c:v>
                </c:pt>
                <c:pt idx="4">
                  <c:v>1/2 in.</c:v>
                </c:pt>
                <c:pt idx="5">
                  <c:v>3/8 in.</c:v>
                </c:pt>
                <c:pt idx="6">
                  <c:v>No. 4</c:v>
                </c:pt>
                <c:pt idx="7">
                  <c:v>No. 8</c:v>
                </c:pt>
                <c:pt idx="8">
                  <c:v>No. 16</c:v>
                </c:pt>
                <c:pt idx="9">
                  <c:v>No. 30</c:v>
                </c:pt>
                <c:pt idx="10">
                  <c:v>No. 50</c:v>
                </c:pt>
                <c:pt idx="11">
                  <c:v>No. 100</c:v>
                </c:pt>
                <c:pt idx="12">
                  <c:v>No. 200</c:v>
                </c:pt>
              </c:strCache>
            </c:strRef>
          </c:cat>
          <c:val>
            <c:numRef>
              <c:f>'Calculation (3)'!$Y$65:$Y$77</c:f>
              <c:numCache>
                <c:formatCode>0.0%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65-466B-9D37-0BB9A26F7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47680"/>
        <c:axId val="51462144"/>
      </c:lineChart>
      <c:catAx>
        <c:axId val="51447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Sieve Size</a:t>
                </a:r>
              </a:p>
            </c:rich>
          </c:tx>
          <c:layout>
            <c:manualLayout>
              <c:xMode val="edge"/>
              <c:yMode val="edge"/>
              <c:x val="0.38128157664502482"/>
              <c:y val="0.926444285373419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1462144"/>
        <c:crosses val="autoZero"/>
        <c:auto val="1"/>
        <c:lblAlgn val="ctr"/>
        <c:lblOffset val="100"/>
        <c:tickLblSkip val="1"/>
        <c:noMultiLvlLbl val="0"/>
      </c:catAx>
      <c:valAx>
        <c:axId val="51462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Retained on Sieve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1447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0.45 Power Chart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43285214348206"/>
          <c:y val="0.13585818166171851"/>
          <c:w val="0.80095603674540683"/>
          <c:h val="0.62833475323781263"/>
        </c:manualLayout>
      </c:layout>
      <c:barChart>
        <c:barDir val="col"/>
        <c:grouping val="clustered"/>
        <c:varyColors val="0"/>
        <c:ser>
          <c:idx val="4"/>
          <c:order val="3"/>
          <c:tx>
            <c:strRef>
              <c:f>'Calculation (3)'!$AQ$42</c:f>
              <c:strCache>
                <c:ptCount val="1"/>
                <c:pt idx="0">
                  <c:v>Sieve</c:v>
                </c:pt>
              </c:strCache>
            </c:strRef>
          </c:tx>
          <c:invertIfNegative val="0"/>
          <c:val>
            <c:numRef>
              <c:f>'Calculation (3)'!$AQ$60:$AQ$198</c:f>
              <c:numCache>
                <c:formatCode>General</c:formatCode>
                <c:ptCount val="13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 formatCode="0%">
                  <c:v>1</c:v>
                </c:pt>
                <c:pt idx="8">
                  <c:v>#N/A</c:v>
                </c:pt>
                <c:pt idx="9">
                  <c:v>#N/A</c:v>
                </c:pt>
                <c:pt idx="10" formatCode="0%">
                  <c:v>1</c:v>
                </c:pt>
                <c:pt idx="11">
                  <c:v>#N/A</c:v>
                </c:pt>
                <c:pt idx="12">
                  <c:v>#N/A</c:v>
                </c:pt>
                <c:pt idx="13" formatCode="0%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0%">
                  <c:v>1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 formatCode="0%">
                  <c:v>1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 formatCode="0%">
                  <c:v>1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 formatCode="0%">
                  <c:v>1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 formatCode="0%">
                  <c:v>1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 formatCode="0%">
                  <c:v>1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 formatCode="0%">
                  <c:v>1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 formatCode="0%">
                  <c:v>1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 formatCode="0%">
                  <c:v>1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 formatCode="0%">
                  <c:v>1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4-4D50-A38B-317ED01A9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51478528"/>
        <c:axId val="51480448"/>
      </c:barChart>
      <c:lineChart>
        <c:grouping val="standard"/>
        <c:varyColors val="0"/>
        <c:ser>
          <c:idx val="3"/>
          <c:order val="0"/>
          <c:tx>
            <c:strRef>
              <c:f>'Calculation (3)'!$AP$42</c:f>
              <c:strCache>
                <c:ptCount val="1"/>
                <c:pt idx="0">
                  <c:v>High</c:v>
                </c:pt>
              </c:strCache>
            </c:strRef>
          </c:tx>
          <c:spPr>
            <a:ln w="15875">
              <a:prstDash val="dash"/>
            </a:ln>
          </c:spPr>
          <c:marker>
            <c:symbol val="none"/>
          </c:marker>
          <c:cat>
            <c:strRef>
              <c:f>'Calculation (3)'!$AL$60:$AL$198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(3)'!$AP$60:$AP$198</c:f>
              <c:numCache>
                <c:formatCode>0%</c:formatCode>
                <c:ptCount val="139"/>
                <c:pt idx="0">
                  <c:v>7.0000000000000007E-2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4-4D50-A38B-317ED01A9EF9}"/>
            </c:ext>
          </c:extLst>
        </c:ser>
        <c:ser>
          <c:idx val="1"/>
          <c:order val="1"/>
          <c:tx>
            <c:strRef>
              <c:f>'Calculation (3)'!$AM$42</c:f>
              <c:strCache>
                <c:ptCount val="1"/>
                <c:pt idx="0">
                  <c:v>#REF!</c:v>
                </c:pt>
              </c:strCache>
            </c:strRef>
          </c:tx>
          <c:marker>
            <c:symbol val="square"/>
            <c:size val="5"/>
          </c:marker>
          <c:cat>
            <c:strRef>
              <c:f>'Calculation (3)'!$AL$60:$AL$198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(3)'!$AM$60:$AM$198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0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0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0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0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B4-4D50-A38B-317ED01A9EF9}"/>
            </c:ext>
          </c:extLst>
        </c:ser>
        <c:ser>
          <c:idx val="0"/>
          <c:order val="2"/>
          <c:tx>
            <c:strRef>
              <c:f>'Calculation (3)'!$AN$42</c:f>
              <c:strCache>
                <c:ptCount val="1"/>
                <c:pt idx="0">
                  <c:v>Power Chart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strRef>
              <c:f>'Calculation (3)'!$AL$60:$AL$198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(3)'!$AN$60:$AN$198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B4-4D50-A38B-317ED01A9EF9}"/>
            </c:ext>
          </c:extLst>
        </c:ser>
        <c:ser>
          <c:idx val="2"/>
          <c:order val="4"/>
          <c:tx>
            <c:strRef>
              <c:f>'Calculation (3)'!$AO$42</c:f>
              <c:strCache>
                <c:ptCount val="1"/>
                <c:pt idx="0">
                  <c:v>Low</c:v>
                </c:pt>
              </c:strCache>
            </c:strRef>
          </c:tx>
          <c:spPr>
            <a:ln w="15875">
              <a:prstDash val="dash"/>
            </a:ln>
          </c:spPr>
          <c:marker>
            <c:symbol val="none"/>
          </c:marker>
          <c:cat>
            <c:strRef>
              <c:f>'Calculation (3)'!$AL$60:$AL$198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(3)'!$AO$60:$AO$198</c:f>
              <c:numCache>
                <c:formatCode>0%</c:formatCode>
                <c:ptCount val="139"/>
                <c:pt idx="0">
                  <c:v>-7.0000000000000007E-2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B4-4D50-A38B-317ED01A9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78528"/>
        <c:axId val="51480448"/>
      </c:lineChart>
      <c:catAx>
        <c:axId val="5147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Sieve Size</a:t>
                </a:r>
                <a:r>
                  <a:rPr lang="en-US" baseline="0"/>
                  <a:t>  (Opening to the 0.45 power)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1480448"/>
        <c:crosses val="autoZero"/>
        <c:auto val="1"/>
        <c:lblAlgn val="ctr"/>
        <c:lblOffset val="100"/>
        <c:noMultiLvlLbl val="0"/>
      </c:catAx>
      <c:valAx>
        <c:axId val="51480448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Passing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1478528"/>
        <c:crosses val="autoZero"/>
        <c:crossBetween val="between"/>
      </c:valAx>
    </c:plotArea>
    <c:legend>
      <c:legendPos val="r"/>
      <c:legendEntry>
        <c:idx val="0"/>
        <c:delete val="1"/>
      </c:legendEntry>
      <c:overlay val="0"/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span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0.45 Power Chart (Best Fit Example)</a:t>
            </a:r>
          </a:p>
        </c:rich>
      </c:tx>
      <c:layout>
        <c:manualLayout>
          <c:xMode val="edge"/>
          <c:yMode val="edge"/>
          <c:x val="0.18088299488879694"/>
          <c:y val="2.62295081967213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43285214348206"/>
          <c:y val="0.13585818166171851"/>
          <c:w val="0.80095603674540683"/>
          <c:h val="0.62833475323781263"/>
        </c:manualLayout>
      </c:layout>
      <c:lineChart>
        <c:grouping val="standard"/>
        <c:varyColors val="0"/>
        <c:ser>
          <c:idx val="3"/>
          <c:order val="0"/>
          <c:tx>
            <c:strRef>
              <c:f>'Calculation (2)'!$AW$42</c:f>
              <c:strCache>
                <c:ptCount val="1"/>
                <c:pt idx="0">
                  <c:v>High</c:v>
                </c:pt>
              </c:strCache>
            </c:strRef>
          </c:tx>
          <c:spPr>
            <a:ln w="15875">
              <a:prstDash val="dash"/>
            </a:ln>
          </c:spPr>
          <c:marker>
            <c:symbol val="none"/>
          </c:marker>
          <c:cat>
            <c:strRef>
              <c:f>'Calculation (2)'!$AL$60:$AL$198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(2)'!$AW$60:$AW$198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0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0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0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0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6-40BB-A55C-9F8C5D4E94E8}"/>
            </c:ext>
          </c:extLst>
        </c:ser>
        <c:ser>
          <c:idx val="1"/>
          <c:order val="1"/>
          <c:tx>
            <c:strRef>
              <c:f>'Calculation (2)'!$AM$42</c:f>
              <c:strCache>
                <c:ptCount val="1"/>
                <c:pt idx="0">
                  <c:v>#REF!</c:v>
                </c:pt>
              </c:strCache>
            </c:strRef>
          </c:tx>
          <c:marker>
            <c:symbol val="square"/>
            <c:size val="5"/>
          </c:marker>
          <c:cat>
            <c:strRef>
              <c:f>'Calculation (2)'!$AL$60:$AL$198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(2)'!$AM$60:$AM$198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0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0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0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0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6-40BB-A55C-9F8C5D4E94E8}"/>
            </c:ext>
          </c:extLst>
        </c:ser>
        <c:ser>
          <c:idx val="0"/>
          <c:order val="2"/>
          <c:tx>
            <c:strRef>
              <c:f>'Calculation (2)'!$AU$42</c:f>
              <c:strCache>
                <c:ptCount val="1"/>
                <c:pt idx="0">
                  <c:v>Best Fit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strRef>
              <c:f>'Calculation (2)'!$AL$60:$AL$198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(2)'!$AU$60:$AU$198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0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0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0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0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66-40BB-A55C-9F8C5D4E94E8}"/>
            </c:ext>
          </c:extLst>
        </c:ser>
        <c:ser>
          <c:idx val="2"/>
          <c:order val="3"/>
          <c:tx>
            <c:strRef>
              <c:f>'Calculation (2)'!$AV$42</c:f>
              <c:strCache>
                <c:ptCount val="1"/>
                <c:pt idx="0">
                  <c:v>Low</c:v>
                </c:pt>
              </c:strCache>
            </c:strRef>
          </c:tx>
          <c:spPr>
            <a:ln w="15875">
              <a:prstDash val="dash"/>
            </a:ln>
          </c:spPr>
          <c:marker>
            <c:symbol val="none"/>
          </c:marker>
          <c:cat>
            <c:strRef>
              <c:f>'Calculation (2)'!$AL$60:$AL$198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(2)'!$AV$60:$AV$198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0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0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0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0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66-40BB-A55C-9F8C5D4E9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04480"/>
        <c:axId val="51606656"/>
      </c:lineChart>
      <c:catAx>
        <c:axId val="51604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Sieve Size</a:t>
                </a:r>
                <a:r>
                  <a:rPr lang="en-US" baseline="0"/>
                  <a:t>  (Opening to the 0.45 power)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1606656"/>
        <c:crosses val="autoZero"/>
        <c:auto val="1"/>
        <c:lblAlgn val="ctr"/>
        <c:lblOffset val="100"/>
        <c:noMultiLvlLbl val="0"/>
      </c:catAx>
      <c:valAx>
        <c:axId val="51606656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Passing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1604480"/>
        <c:crosses val="autoZero"/>
        <c:crossBetween val="between"/>
      </c:valAx>
    </c:plotArea>
    <c:legend>
      <c:legendPos val="r"/>
      <c:overlay val="0"/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span"/>
    <c:showDLblsOverMax val="0"/>
  </c:chart>
  <c:printSettings>
    <c:headerFooter/>
    <c:pageMargins b="0.75000000000000433" l="0.70000000000000062" r="0.70000000000000062" t="0.75000000000000433" header="0.30000000000000032" footer="0.3000000000000003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Coarseness Factor Chart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4947076702117"/>
          <c:y val="0.12337031734669532"/>
          <c:w val="0.6235601487314032"/>
          <c:h val="0.72625536864710094"/>
        </c:manualLayout>
      </c:layout>
      <c:scatterChart>
        <c:scatterStyle val="lineMarker"/>
        <c:varyColors val="0"/>
        <c:ser>
          <c:idx val="0"/>
          <c:order val="0"/>
          <c:spPr>
            <a:ln w="22225">
              <a:prstDash val="dash"/>
            </a:ln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A02-40B7-9809-D6979DCF39B4}"/>
            </c:ext>
          </c:extLst>
        </c:ser>
        <c:ser>
          <c:idx val="1"/>
          <c:order val="1"/>
          <c:spPr>
            <a:ln>
              <a:noFill/>
            </a:ln>
          </c:spPr>
          <c:marker>
            <c:symbol val="circle"/>
            <c:size val="7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A02-40B7-9809-D6979DCF39B4}"/>
            </c:ext>
          </c:extLst>
        </c:ser>
        <c:ser>
          <c:idx val="2"/>
          <c:order val="2"/>
          <c:spPr>
            <a:ln w="19050">
              <a:prstDash val="solid"/>
            </a:ln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6A02-40B7-9809-D6979DCF39B4}"/>
            </c:ext>
          </c:extLst>
        </c:ser>
        <c:ser>
          <c:idx val="3"/>
          <c:order val="3"/>
          <c:spPr>
            <a:ln w="15875">
              <a:solidFill>
                <a:srgbClr val="98B954"/>
              </a:solidFill>
              <a:prstDash val="sysDash"/>
            </a:ln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6A02-40B7-9809-D6979DCF3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21248"/>
        <c:axId val="51627520"/>
      </c:scatterChart>
      <c:valAx>
        <c:axId val="51621248"/>
        <c:scaling>
          <c:orientation val="maxMin"/>
          <c:max val="0.8"/>
          <c:min val="0.30000000000000032"/>
        </c:scaling>
        <c:delete val="0"/>
        <c:axPos val="b"/>
        <c:majorGridlines>
          <c:spPr>
            <a:ln w="9525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Coarseness Factor, CF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627520"/>
        <c:crosses val="autoZero"/>
        <c:crossBetween val="midCat"/>
      </c:valAx>
      <c:valAx>
        <c:axId val="51627520"/>
        <c:scaling>
          <c:orientation val="minMax"/>
          <c:max val="0.45"/>
          <c:min val="0.2"/>
        </c:scaling>
        <c:delete val="0"/>
        <c:axPos val="l"/>
        <c:majorGridlines>
          <c:spPr>
            <a:ln w="9525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Workability Factor, WF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621248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72906831732738664"/>
          <c:y val="0.40874303615273638"/>
          <c:w val="0.2709317124833065"/>
          <c:h val="0.2739835361488904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Retained Chart</a:t>
            </a:r>
          </a:p>
        </c:rich>
      </c:tx>
      <c:layout>
        <c:manualLayout>
          <c:xMode val="edge"/>
          <c:yMode val="edge"/>
          <c:x val="0.27065797175072631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9.8577229038516068E-2"/>
          <c:y val="0.10033893524503465"/>
          <c:w val="0.69960029291009496"/>
          <c:h val="0.67576393859859329"/>
        </c:manualLayout>
      </c:layout>
      <c:lineChart>
        <c:grouping val="standard"/>
        <c:varyColors val="0"/>
        <c:ser>
          <c:idx val="2"/>
          <c:order val="0"/>
          <c:tx>
            <c:strRef>
              <c:f>Calculation!$Z$64</c:f>
              <c:strCache>
                <c:ptCount val="1"/>
                <c:pt idx="0">
                  <c:v>High</c:v>
                </c:pt>
              </c:strCache>
            </c:strRef>
          </c:tx>
          <c:spPr>
            <a:ln w="22225">
              <a:prstDash val="dash"/>
            </a:ln>
          </c:spPr>
          <c:marker>
            <c:symbol val="none"/>
          </c:marker>
          <c:cat>
            <c:strRef>
              <c:f>Calculation!$W$65:$W$77</c:f>
              <c:strCache>
                <c:ptCount val="13"/>
                <c:pt idx="0">
                  <c:v>2 in.</c:v>
                </c:pt>
                <c:pt idx="1">
                  <c:v>1 1/2 in.</c:v>
                </c:pt>
                <c:pt idx="2">
                  <c:v>1 in.</c:v>
                </c:pt>
                <c:pt idx="3">
                  <c:v>3/4 in.</c:v>
                </c:pt>
                <c:pt idx="4">
                  <c:v>1/2 in.</c:v>
                </c:pt>
                <c:pt idx="5">
                  <c:v>3/8 in.</c:v>
                </c:pt>
                <c:pt idx="6">
                  <c:v>No. 4</c:v>
                </c:pt>
                <c:pt idx="7">
                  <c:v>No. 8</c:v>
                </c:pt>
                <c:pt idx="8">
                  <c:v>No. 16</c:v>
                </c:pt>
                <c:pt idx="9">
                  <c:v>No. 30</c:v>
                </c:pt>
                <c:pt idx="10">
                  <c:v>No. 50</c:v>
                </c:pt>
                <c:pt idx="11">
                  <c:v>No. 100</c:v>
                </c:pt>
                <c:pt idx="12">
                  <c:v>No. 200</c:v>
                </c:pt>
              </c:strCache>
            </c:strRef>
          </c:cat>
          <c:val>
            <c:numRef>
              <c:f>Calculation!$Z$65:$Z$77</c:f>
              <c:numCache>
                <c:formatCode>0.0%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0.15</c:v>
                </c:pt>
                <c:pt idx="10">
                  <c:v>0.15</c:v>
                </c:pt>
                <c:pt idx="11">
                  <c:v>7.4999999999999997E-2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0-434A-841B-4FD8FB913C01}"/>
            </c:ext>
          </c:extLst>
        </c:ser>
        <c:ser>
          <c:idx val="0"/>
          <c:order val="1"/>
          <c:tx>
            <c:strRef>
              <c:f>Calculation!$X$64</c:f>
              <c:strCache>
                <c:ptCount val="1"/>
                <c:pt idx="0">
                  <c:v>% Retained</c:v>
                </c:pt>
              </c:strCache>
            </c:strRef>
          </c:tx>
          <c:cat>
            <c:strRef>
              <c:f>Calculation!$W$65:$W$77</c:f>
              <c:strCache>
                <c:ptCount val="13"/>
                <c:pt idx="0">
                  <c:v>2 in.</c:v>
                </c:pt>
                <c:pt idx="1">
                  <c:v>1 1/2 in.</c:v>
                </c:pt>
                <c:pt idx="2">
                  <c:v>1 in.</c:v>
                </c:pt>
                <c:pt idx="3">
                  <c:v>3/4 in.</c:v>
                </c:pt>
                <c:pt idx="4">
                  <c:v>1/2 in.</c:v>
                </c:pt>
                <c:pt idx="5">
                  <c:v>3/8 in.</c:v>
                </c:pt>
                <c:pt idx="6">
                  <c:v>No. 4</c:v>
                </c:pt>
                <c:pt idx="7">
                  <c:v>No. 8</c:v>
                </c:pt>
                <c:pt idx="8">
                  <c:v>No. 16</c:v>
                </c:pt>
                <c:pt idx="9">
                  <c:v>No. 30</c:v>
                </c:pt>
                <c:pt idx="10">
                  <c:v>No. 50</c:v>
                </c:pt>
                <c:pt idx="11">
                  <c:v>No. 100</c:v>
                </c:pt>
                <c:pt idx="12">
                  <c:v>No. 200</c:v>
                </c:pt>
              </c:strCache>
            </c:strRef>
          </c:cat>
          <c:val>
            <c:numRef>
              <c:f>Calculation!$X$65:$X$77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0-434A-841B-4FD8FB913C01}"/>
            </c:ext>
          </c:extLst>
        </c:ser>
        <c:ser>
          <c:idx val="1"/>
          <c:order val="2"/>
          <c:tx>
            <c:strRef>
              <c:f>Calculation!$Y$64</c:f>
              <c:strCache>
                <c:ptCount val="1"/>
                <c:pt idx="0">
                  <c:v>Low</c:v>
                </c:pt>
              </c:strCache>
            </c:strRef>
          </c:tx>
          <c:spPr>
            <a:ln w="22225">
              <a:prstDash val="dashDot"/>
            </a:ln>
          </c:spPr>
          <c:marker>
            <c:symbol val="none"/>
          </c:marker>
          <c:cat>
            <c:strRef>
              <c:f>Calculation!$W$65:$W$77</c:f>
              <c:strCache>
                <c:ptCount val="13"/>
                <c:pt idx="0">
                  <c:v>2 in.</c:v>
                </c:pt>
                <c:pt idx="1">
                  <c:v>1 1/2 in.</c:v>
                </c:pt>
                <c:pt idx="2">
                  <c:v>1 in.</c:v>
                </c:pt>
                <c:pt idx="3">
                  <c:v>3/4 in.</c:v>
                </c:pt>
                <c:pt idx="4">
                  <c:v>1/2 in.</c:v>
                </c:pt>
                <c:pt idx="5">
                  <c:v>3/8 in.</c:v>
                </c:pt>
                <c:pt idx="6">
                  <c:v>No. 4</c:v>
                </c:pt>
                <c:pt idx="7">
                  <c:v>No. 8</c:v>
                </c:pt>
                <c:pt idx="8">
                  <c:v>No. 16</c:v>
                </c:pt>
                <c:pt idx="9">
                  <c:v>No. 30</c:v>
                </c:pt>
                <c:pt idx="10">
                  <c:v>No. 50</c:v>
                </c:pt>
                <c:pt idx="11">
                  <c:v>No. 100</c:v>
                </c:pt>
                <c:pt idx="12">
                  <c:v>No. 200</c:v>
                </c:pt>
              </c:strCache>
            </c:strRef>
          </c:cat>
          <c:val>
            <c:numRef>
              <c:f>Calculation!$Y$65:$Y$77</c:f>
              <c:numCache>
                <c:formatCode>0.0%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70-434A-841B-4FD8FB913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471104"/>
        <c:axId val="77474816"/>
      </c:lineChart>
      <c:catAx>
        <c:axId val="7747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Sieve Size</a:t>
                </a:r>
              </a:p>
            </c:rich>
          </c:tx>
          <c:layout>
            <c:manualLayout>
              <c:xMode val="edge"/>
              <c:yMode val="edge"/>
              <c:x val="0.38128157664502482"/>
              <c:y val="0.926444285373419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77474816"/>
        <c:crosses val="autoZero"/>
        <c:auto val="1"/>
        <c:lblAlgn val="ctr"/>
        <c:lblOffset val="100"/>
        <c:tickLblSkip val="1"/>
        <c:noMultiLvlLbl val="0"/>
      </c:catAx>
      <c:valAx>
        <c:axId val="77474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Retained on Sieve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77471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657747718839246"/>
          <c:y val="0.27413778301076852"/>
          <c:w val="0.19171512661249093"/>
          <c:h val="0.21786642633526296"/>
        </c:manualLayout>
      </c:layout>
      <c:overlay val="0"/>
      <c:spPr>
        <a:solidFill>
          <a:schemeClr val="bg1"/>
        </a:solidFill>
        <a:ln w="6350">
          <a:solidFill>
            <a:schemeClr val="accent1"/>
          </a:solidFill>
        </a:ln>
      </c:spPr>
    </c:legend>
    <c:plotVisOnly val="1"/>
    <c:dispBlanksAs val="gap"/>
    <c:showDLblsOverMax val="0"/>
  </c:chart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Retained Chart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0563926877561439"/>
          <c:y val="8.9303109838542907E-2"/>
          <c:w val="0.65989280287333096"/>
          <c:h val="0.67576393859859385"/>
        </c:manualLayout>
      </c:layout>
      <c:lineChart>
        <c:grouping val="standard"/>
        <c:varyColors val="0"/>
        <c:ser>
          <c:idx val="2"/>
          <c:order val="0"/>
          <c:spPr>
            <a:ln w="22225">
              <a:prstDash val="dash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44A-41A5-BD70-8FAE51A42E78}"/>
            </c:ext>
          </c:extLst>
        </c:ser>
        <c:ser>
          <c:idx val="0"/>
          <c:order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44A-41A5-BD70-8FAE51A42E78}"/>
            </c:ext>
          </c:extLst>
        </c:ser>
        <c:ser>
          <c:idx val="1"/>
          <c:order val="2"/>
          <c:spPr>
            <a:ln w="22225">
              <a:prstDash val="dashDot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44A-41A5-BD70-8FAE51A42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53952"/>
        <c:axId val="51856128"/>
      </c:lineChart>
      <c:catAx>
        <c:axId val="518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Sieve Size</a:t>
                </a:r>
              </a:p>
            </c:rich>
          </c:tx>
          <c:layout>
            <c:manualLayout>
              <c:xMode val="edge"/>
              <c:yMode val="edge"/>
              <c:x val="0.38128157664502482"/>
              <c:y val="0.926444285373419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1856128"/>
        <c:crosses val="autoZero"/>
        <c:auto val="1"/>
        <c:lblAlgn val="ctr"/>
        <c:lblOffset val="100"/>
        <c:tickLblSkip val="1"/>
        <c:noMultiLvlLbl val="0"/>
      </c:catAx>
      <c:valAx>
        <c:axId val="518561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Retained on Sieve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1853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0.45 Power Chart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43285214348206"/>
          <c:y val="0.13585818166171851"/>
          <c:w val="0.80095603674540683"/>
          <c:h val="0.62833475323781263"/>
        </c:manualLayout>
      </c:layout>
      <c:lineChart>
        <c:grouping val="standard"/>
        <c:varyColors val="0"/>
        <c:ser>
          <c:idx val="3"/>
          <c:order val="0"/>
          <c:spPr>
            <a:ln w="15875">
              <a:prstDash val="dash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E67-44DD-96C3-0D788311CBCE}"/>
            </c:ext>
          </c:extLst>
        </c:ser>
        <c:ser>
          <c:idx val="1"/>
          <c:order val="1"/>
          <c:marker>
            <c:symbol val="square"/>
            <c:size val="5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E67-44DD-96C3-0D788311CBCE}"/>
            </c:ext>
          </c:extLst>
        </c:ser>
        <c:ser>
          <c:idx val="0"/>
          <c:order val="2"/>
          <c:spPr>
            <a:ln w="15875"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E67-44DD-96C3-0D788311CBCE}"/>
            </c:ext>
          </c:extLst>
        </c:ser>
        <c:ser>
          <c:idx val="2"/>
          <c:order val="3"/>
          <c:spPr>
            <a:ln w="15875">
              <a:prstDash val="dash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EE67-44DD-96C3-0D788311C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67008"/>
        <c:axId val="51869184"/>
      </c:lineChart>
      <c:catAx>
        <c:axId val="5186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Sieve Size</a:t>
                </a:r>
                <a:r>
                  <a:rPr lang="en-US" baseline="0"/>
                  <a:t>  (Opening to the 0.45 power)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1869184"/>
        <c:crosses val="autoZero"/>
        <c:auto val="1"/>
        <c:lblAlgn val="ctr"/>
        <c:lblOffset val="100"/>
        <c:noMultiLvlLbl val="0"/>
      </c:catAx>
      <c:valAx>
        <c:axId val="51869184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Passing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1867008"/>
        <c:crosses val="autoZero"/>
        <c:crossBetween val="between"/>
      </c:valAx>
    </c:plotArea>
    <c:legend>
      <c:legendPos val="r"/>
      <c:overlay val="0"/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span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Coarseness Factor Chart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4947076702117"/>
          <c:y val="0.12337031734669532"/>
          <c:w val="0.6235601487314032"/>
          <c:h val="0.72625536864710094"/>
        </c:manualLayout>
      </c:layout>
      <c:scatterChart>
        <c:scatterStyle val="lineMarker"/>
        <c:varyColors val="0"/>
        <c:ser>
          <c:idx val="0"/>
          <c:order val="0"/>
          <c:tx>
            <c:strRef>
              <c:f>'Calculation (2)'!$T$64</c:f>
              <c:strCache>
                <c:ptCount val="1"/>
                <c:pt idx="0">
                  <c:v>Workability Box</c:v>
                </c:pt>
              </c:strCache>
            </c:strRef>
          </c:tx>
          <c:spPr>
            <a:ln w="22225">
              <a:prstDash val="dash"/>
            </a:ln>
          </c:spPr>
          <c:marker>
            <c:symbol val="none"/>
          </c:marker>
          <c:xVal>
            <c:numRef>
              <c:f>'Calculation (2)'!$T$65:$T$69</c:f>
              <c:numCache>
                <c:formatCode>0%</c:formatCode>
                <c:ptCount val="5"/>
                <c:pt idx="0">
                  <c:v>0.52</c:v>
                </c:pt>
                <c:pt idx="1">
                  <c:v>0.52</c:v>
                </c:pt>
                <c:pt idx="2">
                  <c:v>0.68</c:v>
                </c:pt>
                <c:pt idx="3">
                  <c:v>0.68</c:v>
                </c:pt>
                <c:pt idx="4">
                  <c:v>0.52</c:v>
                </c:pt>
              </c:numCache>
            </c:numRef>
          </c:xVal>
          <c:yVal>
            <c:numRef>
              <c:f>'Calculation (2)'!$U$65:$U$69</c:f>
              <c:numCache>
                <c:formatCode>0%</c:formatCode>
                <c:ptCount val="5"/>
                <c:pt idx="0">
                  <c:v>0.34</c:v>
                </c:pt>
                <c:pt idx="1">
                  <c:v>0.38</c:v>
                </c:pt>
                <c:pt idx="2">
                  <c:v>0.36</c:v>
                </c:pt>
                <c:pt idx="3">
                  <c:v>0.32</c:v>
                </c:pt>
                <c:pt idx="4">
                  <c:v>0.34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4A-40FF-A270-88501D41FF65}"/>
            </c:ext>
          </c:extLst>
        </c:ser>
        <c:ser>
          <c:idx val="1"/>
          <c:order val="1"/>
          <c:tx>
            <c:strRef>
              <c:f>'Calculation (2)'!$T$70</c:f>
              <c:strCache>
                <c:ptCount val="1"/>
                <c:pt idx="0">
                  <c:v>Combined Aggregate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xVal>
            <c:numRef>
              <c:f>'Calculation (2)'!$T$71</c:f>
              <c:numCache>
                <c:formatCode>0%</c:formatCode>
                <c:ptCount val="1"/>
                <c:pt idx="0">
                  <c:v>0</c:v>
                </c:pt>
              </c:numCache>
            </c:numRef>
          </c:xVal>
          <c:yVal>
            <c:numRef>
              <c:f>'Calculation (2)'!$U$71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4A-40FF-A270-88501D41FF65}"/>
            </c:ext>
          </c:extLst>
        </c:ser>
        <c:ser>
          <c:idx val="2"/>
          <c:order val="2"/>
          <c:tx>
            <c:strRef>
              <c:f>'Calculation (2)'!$T$72</c:f>
              <c:strCache>
                <c:ptCount val="1"/>
                <c:pt idx="0">
                  <c:v>Zone Lines</c:v>
                </c:pt>
              </c:strCache>
            </c:strRef>
          </c:tx>
          <c:spPr>
            <a:ln w="19050">
              <a:prstDash val="solid"/>
            </a:ln>
          </c:spPr>
          <c:marker>
            <c:symbol val="none"/>
          </c:marker>
          <c:xVal>
            <c:numRef>
              <c:f>'Calculation (2)'!$T$73:$T$84</c:f>
              <c:numCache>
                <c:formatCode>0%</c:formatCode>
                <c:ptCount val="12"/>
                <c:pt idx="0">
                  <c:v>0.8</c:v>
                </c:pt>
                <c:pt idx="1">
                  <c:v>0.75</c:v>
                </c:pt>
                <c:pt idx="2">
                  <c:v>0.45</c:v>
                </c:pt>
                <c:pt idx="3">
                  <c:v>0.3</c:v>
                </c:pt>
                <c:pt idx="4">
                  <c:v>0.45</c:v>
                </c:pt>
                <c:pt idx="5">
                  <c:v>0.45</c:v>
                </c:pt>
                <c:pt idx="6">
                  <c:v>0.8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0.45</c:v>
                </c:pt>
                <c:pt idx="11">
                  <c:v>0.3</c:v>
                </c:pt>
              </c:numCache>
            </c:numRef>
          </c:xVal>
          <c:yVal>
            <c:numRef>
              <c:f>'Calculation (2)'!$U$73:$U$84</c:f>
              <c:numCache>
                <c:formatCode>0%</c:formatCode>
                <c:ptCount val="12"/>
                <c:pt idx="0">
                  <c:v>0.26</c:v>
                </c:pt>
                <c:pt idx="1">
                  <c:v>0.26900000000000002</c:v>
                </c:pt>
                <c:pt idx="2">
                  <c:v>0.32300000000000001</c:v>
                </c:pt>
                <c:pt idx="3">
                  <c:v>0.35</c:v>
                </c:pt>
                <c:pt idx="4">
                  <c:v>0.32300000000000001</c:v>
                </c:pt>
                <c:pt idx="5">
                  <c:v>0.443</c:v>
                </c:pt>
                <c:pt idx="6">
                  <c:v>0.38</c:v>
                </c:pt>
                <c:pt idx="7">
                  <c:v>0.38900000000000001</c:v>
                </c:pt>
                <c:pt idx="8">
                  <c:v>0.26900000000000002</c:v>
                </c:pt>
                <c:pt idx="9">
                  <c:v>0.38900000000000001</c:v>
                </c:pt>
                <c:pt idx="10">
                  <c:v>0.443</c:v>
                </c:pt>
                <c:pt idx="11">
                  <c:v>0.47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34A-40FF-A270-88501D41FF65}"/>
            </c:ext>
          </c:extLst>
        </c:ser>
        <c:ser>
          <c:idx val="3"/>
          <c:order val="3"/>
          <c:tx>
            <c:strRef>
              <c:f>'Calculation (2)'!$T$85</c:f>
              <c:strCache>
                <c:ptCount val="1"/>
                <c:pt idx="0">
                  <c:v>SubZones II-a,b,c</c:v>
                </c:pt>
              </c:strCache>
            </c:strRef>
          </c:tx>
          <c:spPr>
            <a:ln w="15875">
              <a:solidFill>
                <a:srgbClr val="98B954"/>
              </a:solidFill>
              <a:prstDash val="sysDash"/>
            </a:ln>
          </c:spPr>
          <c:marker>
            <c:symbol val="none"/>
          </c:marker>
          <c:xVal>
            <c:numRef>
              <c:f>'Calculation (2)'!$T$86:$T$89</c:f>
              <c:numCache>
                <c:formatCode>0%</c:formatCode>
                <c:ptCount val="4"/>
                <c:pt idx="0">
                  <c:v>0.75</c:v>
                </c:pt>
                <c:pt idx="1">
                  <c:v>0.45</c:v>
                </c:pt>
                <c:pt idx="2">
                  <c:v>0.45</c:v>
                </c:pt>
                <c:pt idx="3">
                  <c:v>0.75</c:v>
                </c:pt>
              </c:numCache>
            </c:numRef>
          </c:xVal>
          <c:yVal>
            <c:numRef>
              <c:f>'Calculation (2)'!$U$86:$U$89</c:f>
              <c:numCache>
                <c:formatCode>General</c:formatCode>
                <c:ptCount val="4"/>
                <c:pt idx="0">
                  <c:v>0.30499999999999999</c:v>
                </c:pt>
                <c:pt idx="1">
                  <c:v>0.35899999999999999</c:v>
                </c:pt>
                <c:pt idx="2">
                  <c:v>0.39500000000000002</c:v>
                </c:pt>
                <c:pt idx="3">
                  <c:v>0.34100000000000003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34A-40FF-A270-88501D41F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88896"/>
        <c:axId val="51890816"/>
      </c:scatterChart>
      <c:valAx>
        <c:axId val="51888896"/>
        <c:scaling>
          <c:orientation val="maxMin"/>
          <c:max val="0.8"/>
          <c:min val="0.30000000000000032"/>
        </c:scaling>
        <c:delete val="0"/>
        <c:axPos val="b"/>
        <c:majorGridlines>
          <c:spPr>
            <a:ln w="9525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Coarseness Factor, CF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51890816"/>
        <c:crosses val="autoZero"/>
        <c:crossBetween val="midCat"/>
      </c:valAx>
      <c:valAx>
        <c:axId val="51890816"/>
        <c:scaling>
          <c:orientation val="minMax"/>
          <c:max val="0.45"/>
          <c:min val="0.2"/>
        </c:scaling>
        <c:delete val="0"/>
        <c:axPos val="l"/>
        <c:majorGridlines>
          <c:spPr>
            <a:ln w="9525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Workability Factor, WF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51888896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72906831732738664"/>
          <c:y val="0.40874303615273638"/>
          <c:w val="0.2709317124833065"/>
          <c:h val="0.2739835361488904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 orientation="portrait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Retained Chart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0563926877561439"/>
          <c:y val="8.9303109838542907E-2"/>
          <c:w val="0.65989280287333096"/>
          <c:h val="0.67576393859859385"/>
        </c:manualLayout>
      </c:layout>
      <c:lineChart>
        <c:grouping val="standard"/>
        <c:varyColors val="0"/>
        <c:ser>
          <c:idx val="2"/>
          <c:order val="0"/>
          <c:tx>
            <c:strRef>
              <c:f>'Calculation (2)'!$Z$64</c:f>
              <c:strCache>
                <c:ptCount val="1"/>
                <c:pt idx="0">
                  <c:v>High</c:v>
                </c:pt>
              </c:strCache>
            </c:strRef>
          </c:tx>
          <c:spPr>
            <a:ln w="22225">
              <a:prstDash val="dash"/>
            </a:ln>
          </c:spPr>
          <c:marker>
            <c:symbol val="none"/>
          </c:marker>
          <c:cat>
            <c:strRef>
              <c:f>'Calculation (2)'!$W$65:$W$77</c:f>
              <c:strCache>
                <c:ptCount val="13"/>
                <c:pt idx="0">
                  <c:v>2 in.</c:v>
                </c:pt>
                <c:pt idx="1">
                  <c:v>1 1/2 in.</c:v>
                </c:pt>
                <c:pt idx="2">
                  <c:v>1 in.</c:v>
                </c:pt>
                <c:pt idx="3">
                  <c:v>3/4 in.</c:v>
                </c:pt>
                <c:pt idx="4">
                  <c:v>1/2 in.</c:v>
                </c:pt>
                <c:pt idx="5">
                  <c:v>3/8 in.</c:v>
                </c:pt>
                <c:pt idx="6">
                  <c:v>No. 4</c:v>
                </c:pt>
                <c:pt idx="7">
                  <c:v>No. 8</c:v>
                </c:pt>
                <c:pt idx="8">
                  <c:v>No. 16</c:v>
                </c:pt>
                <c:pt idx="9">
                  <c:v>No. 30</c:v>
                </c:pt>
                <c:pt idx="10">
                  <c:v>No. 50</c:v>
                </c:pt>
                <c:pt idx="11">
                  <c:v>No. 100</c:v>
                </c:pt>
                <c:pt idx="12">
                  <c:v>No. 200</c:v>
                </c:pt>
              </c:strCache>
            </c:strRef>
          </c:cat>
          <c:val>
            <c:numRef>
              <c:f>'Calculation (2)'!$Z$65:$Z$77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0.15</c:v>
                </c:pt>
                <c:pt idx="10">
                  <c:v>0.15</c:v>
                </c:pt>
                <c:pt idx="11">
                  <c:v>7.4999999999999997E-2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8-4FE6-A8B6-033F7B077569}"/>
            </c:ext>
          </c:extLst>
        </c:ser>
        <c:ser>
          <c:idx val="0"/>
          <c:order val="1"/>
          <c:tx>
            <c:strRef>
              <c:f>'Calculation (2)'!$X$64</c:f>
              <c:strCache>
                <c:ptCount val="1"/>
                <c:pt idx="0">
                  <c:v>% Retained</c:v>
                </c:pt>
              </c:strCache>
            </c:strRef>
          </c:tx>
          <c:cat>
            <c:strRef>
              <c:f>'Calculation (2)'!$W$65:$W$77</c:f>
              <c:strCache>
                <c:ptCount val="13"/>
                <c:pt idx="0">
                  <c:v>2 in.</c:v>
                </c:pt>
                <c:pt idx="1">
                  <c:v>1 1/2 in.</c:v>
                </c:pt>
                <c:pt idx="2">
                  <c:v>1 in.</c:v>
                </c:pt>
                <c:pt idx="3">
                  <c:v>3/4 in.</c:v>
                </c:pt>
                <c:pt idx="4">
                  <c:v>1/2 in.</c:v>
                </c:pt>
                <c:pt idx="5">
                  <c:v>3/8 in.</c:v>
                </c:pt>
                <c:pt idx="6">
                  <c:v>No. 4</c:v>
                </c:pt>
                <c:pt idx="7">
                  <c:v>No. 8</c:v>
                </c:pt>
                <c:pt idx="8">
                  <c:v>No. 16</c:v>
                </c:pt>
                <c:pt idx="9">
                  <c:v>No. 30</c:v>
                </c:pt>
                <c:pt idx="10">
                  <c:v>No. 50</c:v>
                </c:pt>
                <c:pt idx="11">
                  <c:v>No. 100</c:v>
                </c:pt>
                <c:pt idx="12">
                  <c:v>No. 200</c:v>
                </c:pt>
              </c:strCache>
            </c:strRef>
          </c:cat>
          <c:val>
            <c:numRef>
              <c:f>'Calculation (2)'!$X$65:$X$77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8-4FE6-A8B6-033F7B077569}"/>
            </c:ext>
          </c:extLst>
        </c:ser>
        <c:ser>
          <c:idx val="1"/>
          <c:order val="2"/>
          <c:tx>
            <c:strRef>
              <c:f>'Calculation (2)'!$Y$64</c:f>
              <c:strCache>
                <c:ptCount val="1"/>
                <c:pt idx="0">
                  <c:v>Low</c:v>
                </c:pt>
              </c:strCache>
            </c:strRef>
          </c:tx>
          <c:spPr>
            <a:ln w="22225">
              <a:prstDash val="dashDot"/>
            </a:ln>
          </c:spPr>
          <c:marker>
            <c:symbol val="none"/>
          </c:marker>
          <c:cat>
            <c:strRef>
              <c:f>'Calculation (2)'!$W$65:$W$77</c:f>
              <c:strCache>
                <c:ptCount val="13"/>
                <c:pt idx="0">
                  <c:v>2 in.</c:v>
                </c:pt>
                <c:pt idx="1">
                  <c:v>1 1/2 in.</c:v>
                </c:pt>
                <c:pt idx="2">
                  <c:v>1 in.</c:v>
                </c:pt>
                <c:pt idx="3">
                  <c:v>3/4 in.</c:v>
                </c:pt>
                <c:pt idx="4">
                  <c:v>1/2 in.</c:v>
                </c:pt>
                <c:pt idx="5">
                  <c:v>3/8 in.</c:v>
                </c:pt>
                <c:pt idx="6">
                  <c:v>No. 4</c:v>
                </c:pt>
                <c:pt idx="7">
                  <c:v>No. 8</c:v>
                </c:pt>
                <c:pt idx="8">
                  <c:v>No. 16</c:v>
                </c:pt>
                <c:pt idx="9">
                  <c:v>No. 30</c:v>
                </c:pt>
                <c:pt idx="10">
                  <c:v>No. 50</c:v>
                </c:pt>
                <c:pt idx="11">
                  <c:v>No. 100</c:v>
                </c:pt>
                <c:pt idx="12">
                  <c:v>No. 200</c:v>
                </c:pt>
              </c:strCache>
            </c:strRef>
          </c:cat>
          <c:val>
            <c:numRef>
              <c:f>'Calculation (2)'!$Y$65:$Y$77</c:f>
              <c:numCache>
                <c:formatCode>0.0%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F8-4FE6-A8B6-033F7B07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20896"/>
        <c:axId val="51922816"/>
      </c:lineChart>
      <c:catAx>
        <c:axId val="5192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Sieve Size</a:t>
                </a:r>
              </a:p>
            </c:rich>
          </c:tx>
          <c:layout>
            <c:manualLayout>
              <c:xMode val="edge"/>
              <c:yMode val="edge"/>
              <c:x val="0.38128157664502482"/>
              <c:y val="0.926444285373419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1922816"/>
        <c:crosses val="autoZero"/>
        <c:auto val="1"/>
        <c:lblAlgn val="ctr"/>
        <c:lblOffset val="100"/>
        <c:tickLblSkip val="1"/>
        <c:noMultiLvlLbl val="0"/>
      </c:catAx>
      <c:valAx>
        <c:axId val="51922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Retained on Sieve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1920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0.45 Power Chart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43285214348206"/>
          <c:y val="0.13585818166171851"/>
          <c:w val="0.80095603674540683"/>
          <c:h val="0.62833475323781263"/>
        </c:manualLayout>
      </c:layout>
      <c:barChart>
        <c:barDir val="col"/>
        <c:grouping val="clustered"/>
        <c:varyColors val="0"/>
        <c:ser>
          <c:idx val="4"/>
          <c:order val="3"/>
          <c:tx>
            <c:strRef>
              <c:f>'Calculation (2)'!$AQ$42</c:f>
              <c:strCache>
                <c:ptCount val="1"/>
                <c:pt idx="0">
                  <c:v>Sieve</c:v>
                </c:pt>
              </c:strCache>
            </c:strRef>
          </c:tx>
          <c:invertIfNegative val="0"/>
          <c:val>
            <c:numRef>
              <c:f>'Calculation (2)'!$AQ$60:$AQ$198</c:f>
              <c:numCache>
                <c:formatCode>General</c:formatCode>
                <c:ptCount val="13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 formatCode="0%">
                  <c:v>1</c:v>
                </c:pt>
                <c:pt idx="8">
                  <c:v>#N/A</c:v>
                </c:pt>
                <c:pt idx="9">
                  <c:v>#N/A</c:v>
                </c:pt>
                <c:pt idx="10" formatCode="0%">
                  <c:v>1</c:v>
                </c:pt>
                <c:pt idx="11">
                  <c:v>#N/A</c:v>
                </c:pt>
                <c:pt idx="12">
                  <c:v>#N/A</c:v>
                </c:pt>
                <c:pt idx="13" formatCode="0%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0%">
                  <c:v>1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 formatCode="0%">
                  <c:v>1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 formatCode="0%">
                  <c:v>1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 formatCode="0%">
                  <c:v>1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 formatCode="0%">
                  <c:v>1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 formatCode="0%">
                  <c:v>1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 formatCode="0%">
                  <c:v>1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 formatCode="0%">
                  <c:v>1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 formatCode="0%">
                  <c:v>1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 formatCode="0%">
                  <c:v>1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2-4535-9F31-801ACB5CE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51951488"/>
        <c:axId val="51965952"/>
      </c:barChart>
      <c:lineChart>
        <c:grouping val="standard"/>
        <c:varyColors val="0"/>
        <c:ser>
          <c:idx val="3"/>
          <c:order val="0"/>
          <c:tx>
            <c:strRef>
              <c:f>'Calculation (2)'!$AP$42</c:f>
              <c:strCache>
                <c:ptCount val="1"/>
                <c:pt idx="0">
                  <c:v>High</c:v>
                </c:pt>
              </c:strCache>
            </c:strRef>
          </c:tx>
          <c:spPr>
            <a:ln w="15875">
              <a:prstDash val="dash"/>
            </a:ln>
          </c:spPr>
          <c:marker>
            <c:symbol val="none"/>
          </c:marker>
          <c:cat>
            <c:strRef>
              <c:f>'Calculation (2)'!$AL$60:$AL$198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(2)'!$AP$60:$AP$198</c:f>
              <c:numCache>
                <c:formatCode>0%</c:formatCode>
                <c:ptCount val="139"/>
                <c:pt idx="0">
                  <c:v>7.0000000000000007E-2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2-4535-9F31-801ACB5CED0F}"/>
            </c:ext>
          </c:extLst>
        </c:ser>
        <c:ser>
          <c:idx val="1"/>
          <c:order val="1"/>
          <c:tx>
            <c:strRef>
              <c:f>'Calculation (2)'!$AM$42</c:f>
              <c:strCache>
                <c:ptCount val="1"/>
                <c:pt idx="0">
                  <c:v>#REF!</c:v>
                </c:pt>
              </c:strCache>
            </c:strRef>
          </c:tx>
          <c:marker>
            <c:symbol val="square"/>
            <c:size val="5"/>
          </c:marker>
          <c:cat>
            <c:strRef>
              <c:f>'Calculation (2)'!$AL$60:$AL$198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(2)'!$AM$60:$AM$198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0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0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0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0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B2-4535-9F31-801ACB5CED0F}"/>
            </c:ext>
          </c:extLst>
        </c:ser>
        <c:ser>
          <c:idx val="0"/>
          <c:order val="2"/>
          <c:tx>
            <c:strRef>
              <c:f>'Calculation (2)'!$AN$42</c:f>
              <c:strCache>
                <c:ptCount val="1"/>
                <c:pt idx="0">
                  <c:v>Power Chart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strRef>
              <c:f>'Calculation (2)'!$AL$60:$AL$198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(2)'!$AN$60:$AN$198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B2-4535-9F31-801ACB5CED0F}"/>
            </c:ext>
          </c:extLst>
        </c:ser>
        <c:ser>
          <c:idx val="2"/>
          <c:order val="4"/>
          <c:tx>
            <c:strRef>
              <c:f>'Calculation (2)'!$AO$42</c:f>
              <c:strCache>
                <c:ptCount val="1"/>
                <c:pt idx="0">
                  <c:v>Low</c:v>
                </c:pt>
              </c:strCache>
            </c:strRef>
          </c:tx>
          <c:spPr>
            <a:ln w="15875">
              <a:prstDash val="dash"/>
            </a:ln>
          </c:spPr>
          <c:marker>
            <c:symbol val="none"/>
          </c:marker>
          <c:cat>
            <c:strRef>
              <c:f>'Calculation (2)'!$AL$60:$AL$198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(2)'!$AO$60:$AO$198</c:f>
              <c:numCache>
                <c:formatCode>0%</c:formatCode>
                <c:ptCount val="139"/>
                <c:pt idx="0">
                  <c:v>-7.0000000000000007E-2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B2-4535-9F31-801ACB5CE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1488"/>
        <c:axId val="51965952"/>
      </c:lineChart>
      <c:catAx>
        <c:axId val="51951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Sieve Size</a:t>
                </a:r>
                <a:r>
                  <a:rPr lang="en-US" baseline="0"/>
                  <a:t>  (Opening to the 0.45 power)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1965952"/>
        <c:crosses val="autoZero"/>
        <c:auto val="1"/>
        <c:lblAlgn val="ctr"/>
        <c:lblOffset val="100"/>
        <c:noMultiLvlLbl val="0"/>
      </c:catAx>
      <c:valAx>
        <c:axId val="51965952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Passing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1951488"/>
        <c:crosses val="autoZero"/>
        <c:crossBetween val="between"/>
      </c:valAx>
    </c:plotArea>
    <c:legend>
      <c:legendPos val="r"/>
      <c:legendEntry>
        <c:idx val="0"/>
        <c:delete val="1"/>
      </c:legendEntry>
      <c:overlay val="0"/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span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0.45 Power Chart (Best Fit Example)</a:t>
            </a:r>
          </a:p>
        </c:rich>
      </c:tx>
      <c:layout>
        <c:manualLayout>
          <c:xMode val="edge"/>
          <c:yMode val="edge"/>
          <c:x val="0.18088299488879694"/>
          <c:y val="2.62295081967213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43285214348206"/>
          <c:y val="0.13585818166171851"/>
          <c:w val="0.80095603674540683"/>
          <c:h val="0.62833475323781263"/>
        </c:manualLayout>
      </c:layout>
      <c:lineChart>
        <c:grouping val="standard"/>
        <c:varyColors val="0"/>
        <c:ser>
          <c:idx val="3"/>
          <c:order val="0"/>
          <c:tx>
            <c:strRef>
              <c:f>Calculation!$AW$42</c:f>
              <c:strCache>
                <c:ptCount val="1"/>
                <c:pt idx="0">
                  <c:v>High</c:v>
                </c:pt>
              </c:strCache>
            </c:strRef>
          </c:tx>
          <c:spPr>
            <a:ln w="15875">
              <a:prstDash val="dash"/>
            </a:ln>
          </c:spPr>
          <c:marker>
            <c:symbol val="none"/>
          </c:marker>
          <c:cat>
            <c:strRef>
              <c:f>Calculation!$AL$60:$AL$198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Calculation!$AW$60:$AW$198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0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0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0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0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2-4C77-953A-3C46ADC5DF84}"/>
            </c:ext>
          </c:extLst>
        </c:ser>
        <c:ser>
          <c:idx val="1"/>
          <c:order val="1"/>
          <c:tx>
            <c:strRef>
              <c:f>Calculation!$AM$42</c:f>
              <c:strCache>
                <c:ptCount val="1"/>
                <c:pt idx="0">
                  <c:v>% Passing</c:v>
                </c:pt>
              </c:strCache>
            </c:strRef>
          </c:tx>
          <c:marker>
            <c:symbol val="square"/>
            <c:size val="5"/>
          </c:marker>
          <c:cat>
            <c:strRef>
              <c:f>Calculation!$AL$60:$AL$198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Calculation!$AM$60:$AM$198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0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0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0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0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2-4C77-953A-3C46ADC5DF84}"/>
            </c:ext>
          </c:extLst>
        </c:ser>
        <c:ser>
          <c:idx val="0"/>
          <c:order val="2"/>
          <c:tx>
            <c:strRef>
              <c:f>Calculation!$AU$42</c:f>
              <c:strCache>
                <c:ptCount val="1"/>
                <c:pt idx="0">
                  <c:v>Best Fit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strRef>
              <c:f>Calculation!$AL$60:$AL$198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Calculation!$AU$60:$AU$198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0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0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0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0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2-4C77-953A-3C46ADC5DF84}"/>
            </c:ext>
          </c:extLst>
        </c:ser>
        <c:ser>
          <c:idx val="2"/>
          <c:order val="3"/>
          <c:tx>
            <c:strRef>
              <c:f>Calculation!$AV$42</c:f>
              <c:strCache>
                <c:ptCount val="1"/>
                <c:pt idx="0">
                  <c:v>Low</c:v>
                </c:pt>
              </c:strCache>
            </c:strRef>
          </c:tx>
          <c:spPr>
            <a:ln w="15875">
              <a:prstDash val="dash"/>
            </a:ln>
          </c:spPr>
          <c:marker>
            <c:symbol val="none"/>
          </c:marker>
          <c:cat>
            <c:strRef>
              <c:f>Calculation!$AL$60:$AL$198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Calculation!$AV$60:$AV$198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0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0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0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0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2-4C77-953A-3C46ADC5D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11392"/>
        <c:axId val="52013312"/>
      </c:lineChart>
      <c:catAx>
        <c:axId val="5201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Sieve Size</a:t>
                </a:r>
                <a:r>
                  <a:rPr lang="en-US" baseline="0"/>
                  <a:t>  (Opening to the 0.45 power)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2013312"/>
        <c:crosses val="autoZero"/>
        <c:auto val="1"/>
        <c:lblAlgn val="ctr"/>
        <c:lblOffset val="100"/>
        <c:noMultiLvlLbl val="0"/>
      </c:catAx>
      <c:valAx>
        <c:axId val="52013312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Passing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2011392"/>
        <c:crosses val="autoZero"/>
        <c:crossBetween val="between"/>
      </c:valAx>
    </c:plotArea>
    <c:legend>
      <c:legendPos val="r"/>
      <c:overlay val="0"/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span"/>
    <c:showDLblsOverMax val="0"/>
  </c:chart>
  <c:printSettings>
    <c:headerFooter/>
    <c:pageMargins b="0.75000000000000433" l="0.70000000000000062" r="0.70000000000000062" t="0.75000000000000433" header="0.30000000000000032" footer="0.30000000000000032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Coarseness Factor Chart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4947076702117"/>
          <c:y val="0.12337031734669532"/>
          <c:w val="0.6235601487314032"/>
          <c:h val="0.72625536864710094"/>
        </c:manualLayout>
      </c:layout>
      <c:scatterChart>
        <c:scatterStyle val="lineMarker"/>
        <c:varyColors val="0"/>
        <c:ser>
          <c:idx val="0"/>
          <c:order val="0"/>
          <c:tx>
            <c:strRef>
              <c:f>'Aggregate Charts'!$Q$65</c:f>
              <c:strCache>
                <c:ptCount val="1"/>
              </c:strCache>
            </c:strRef>
          </c:tx>
          <c:spPr>
            <a:ln w="22225">
              <a:prstDash val="dash"/>
            </a:ln>
          </c:spPr>
          <c:marker>
            <c:symbol val="none"/>
          </c:marker>
          <c:xVal>
            <c:numRef>
              <c:f>'Aggregate Charts'!$Q$66:$Q$70</c:f>
              <c:numCache>
                <c:formatCode>General</c:formatCode>
                <c:ptCount val="5"/>
              </c:numCache>
            </c:numRef>
          </c:xVal>
          <c:yVal>
            <c:numRef>
              <c:f>'Aggregate Charts'!$R$66:$R$70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52-4E84-9D11-C8B5ADD63A96}"/>
            </c:ext>
          </c:extLst>
        </c:ser>
        <c:ser>
          <c:idx val="1"/>
          <c:order val="1"/>
          <c:tx>
            <c:strRef>
              <c:f>'Aggregate Charts'!$Q$71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xVal>
            <c:numRef>
              <c:f>'Aggregate Charts'!$Q$72</c:f>
              <c:numCache>
                <c:formatCode>General</c:formatCode>
                <c:ptCount val="1"/>
              </c:numCache>
            </c:numRef>
          </c:xVal>
          <c:yVal>
            <c:numRef>
              <c:f>'Aggregate Charts'!$R$72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52-4E84-9D11-C8B5ADD63A96}"/>
            </c:ext>
          </c:extLst>
        </c:ser>
        <c:ser>
          <c:idx val="2"/>
          <c:order val="2"/>
          <c:tx>
            <c:strRef>
              <c:f>'Aggregate Charts'!$Q$73</c:f>
              <c:strCache>
                <c:ptCount val="1"/>
              </c:strCache>
            </c:strRef>
          </c:tx>
          <c:spPr>
            <a:ln w="19050">
              <a:prstDash val="solid"/>
            </a:ln>
          </c:spPr>
          <c:marker>
            <c:symbol val="none"/>
          </c:marker>
          <c:xVal>
            <c:numRef>
              <c:f>'Aggregate Charts'!$Q$74:$Q$85</c:f>
              <c:numCache>
                <c:formatCode>General</c:formatCode>
                <c:ptCount val="12"/>
              </c:numCache>
            </c:numRef>
          </c:xVal>
          <c:yVal>
            <c:numRef>
              <c:f>'Aggregate Charts'!$R$74:$R$85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952-4E84-9D11-C8B5ADD63A96}"/>
            </c:ext>
          </c:extLst>
        </c:ser>
        <c:ser>
          <c:idx val="3"/>
          <c:order val="3"/>
          <c:tx>
            <c:strRef>
              <c:f>'Aggregate Charts'!$Q$86</c:f>
              <c:strCache>
                <c:ptCount val="1"/>
              </c:strCache>
            </c:strRef>
          </c:tx>
          <c:spPr>
            <a:ln w="15875">
              <a:solidFill>
                <a:srgbClr val="98B954"/>
              </a:solidFill>
              <a:prstDash val="sysDash"/>
            </a:ln>
          </c:spPr>
          <c:marker>
            <c:symbol val="none"/>
          </c:marker>
          <c:xVal>
            <c:numRef>
              <c:f>'Aggregate Charts'!$Q$87:$Q$90</c:f>
              <c:numCache>
                <c:formatCode>General</c:formatCode>
                <c:ptCount val="4"/>
              </c:numCache>
            </c:numRef>
          </c:xVal>
          <c:yVal>
            <c:numRef>
              <c:f>'Aggregate Charts'!$R$87:$R$90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952-4E84-9D11-C8B5ADD63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69888"/>
        <c:axId val="52071808"/>
      </c:scatterChart>
      <c:valAx>
        <c:axId val="52069888"/>
        <c:scaling>
          <c:orientation val="maxMin"/>
          <c:max val="0.8"/>
          <c:min val="0.30000000000000032"/>
        </c:scaling>
        <c:delete val="0"/>
        <c:axPos val="b"/>
        <c:majorGridlines>
          <c:spPr>
            <a:ln w="9525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Coarseness Factor, CF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2071808"/>
        <c:crosses val="autoZero"/>
        <c:crossBetween val="midCat"/>
      </c:valAx>
      <c:valAx>
        <c:axId val="52071808"/>
        <c:scaling>
          <c:orientation val="minMax"/>
          <c:max val="0.45"/>
          <c:min val="0.2"/>
        </c:scaling>
        <c:delete val="0"/>
        <c:axPos val="l"/>
        <c:majorGridlines>
          <c:spPr>
            <a:ln w="9525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Workability Factor, WF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2069888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72906831732738664"/>
          <c:y val="0.40874303615273638"/>
          <c:w val="0.2709317124833065"/>
          <c:h val="0.2739835361488904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Retained Chart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0563926877561439"/>
          <c:y val="8.9303109838542907E-2"/>
          <c:w val="0.65989280287333096"/>
          <c:h val="0.67576393859859385"/>
        </c:manualLayout>
      </c:layout>
      <c:lineChart>
        <c:grouping val="standard"/>
        <c:varyColors val="0"/>
        <c:ser>
          <c:idx val="2"/>
          <c:order val="0"/>
          <c:tx>
            <c:strRef>
              <c:f>'Aggregate Charts'!$W$65</c:f>
              <c:strCache>
                <c:ptCount val="1"/>
              </c:strCache>
            </c:strRef>
          </c:tx>
          <c:spPr>
            <a:ln w="22225">
              <a:prstDash val="dash"/>
            </a:ln>
          </c:spPr>
          <c:marker>
            <c:symbol val="none"/>
          </c:marker>
          <c:cat>
            <c:numRef>
              <c:f>'Aggregate Charts'!$T$66:$T$78</c:f>
              <c:numCache>
                <c:formatCode>General</c:formatCode>
                <c:ptCount val="13"/>
              </c:numCache>
            </c:numRef>
          </c:cat>
          <c:val>
            <c:numRef>
              <c:f>'Aggregate Charts'!$W$66:$W$78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0-4763-BEBD-E7AF73C7EC24}"/>
            </c:ext>
          </c:extLst>
        </c:ser>
        <c:ser>
          <c:idx val="0"/>
          <c:order val="1"/>
          <c:tx>
            <c:strRef>
              <c:f>'Aggregate Charts'!$U$65</c:f>
              <c:strCache>
                <c:ptCount val="1"/>
              </c:strCache>
            </c:strRef>
          </c:tx>
          <c:cat>
            <c:numRef>
              <c:f>'Aggregate Charts'!$T$66:$T$78</c:f>
              <c:numCache>
                <c:formatCode>General</c:formatCode>
                <c:ptCount val="13"/>
              </c:numCache>
            </c:numRef>
          </c:cat>
          <c:val>
            <c:numRef>
              <c:f>'Aggregate Charts'!$U$66:$U$78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0-4763-BEBD-E7AF73C7EC24}"/>
            </c:ext>
          </c:extLst>
        </c:ser>
        <c:ser>
          <c:idx val="1"/>
          <c:order val="2"/>
          <c:tx>
            <c:strRef>
              <c:f>'Aggregate Charts'!$V$65</c:f>
              <c:strCache>
                <c:ptCount val="1"/>
              </c:strCache>
            </c:strRef>
          </c:tx>
          <c:spPr>
            <a:ln w="22225">
              <a:prstDash val="dashDot"/>
            </a:ln>
          </c:spPr>
          <c:marker>
            <c:symbol val="none"/>
          </c:marker>
          <c:cat>
            <c:numRef>
              <c:f>'Aggregate Charts'!$T$66:$T$78</c:f>
              <c:numCache>
                <c:formatCode>General</c:formatCode>
                <c:ptCount val="13"/>
              </c:numCache>
            </c:numRef>
          </c:cat>
          <c:val>
            <c:numRef>
              <c:f>'Aggregate Charts'!$V$66:$V$78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90-4763-BEBD-E7AF73C7E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97792"/>
        <c:axId val="52099712"/>
      </c:lineChart>
      <c:catAx>
        <c:axId val="52097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Sieve Size</a:t>
                </a:r>
              </a:p>
            </c:rich>
          </c:tx>
          <c:layout>
            <c:manualLayout>
              <c:xMode val="edge"/>
              <c:yMode val="edge"/>
              <c:x val="0.38128157664502482"/>
              <c:y val="0.926444285373419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2099712"/>
        <c:crosses val="autoZero"/>
        <c:auto val="1"/>
        <c:lblAlgn val="ctr"/>
        <c:lblOffset val="100"/>
        <c:tickLblSkip val="1"/>
        <c:noMultiLvlLbl val="0"/>
      </c:catAx>
      <c:valAx>
        <c:axId val="52099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Retained on Sieve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2097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0.45 Power Chart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43285214348206"/>
          <c:y val="0.13585818166171851"/>
          <c:w val="0.80095603674540683"/>
          <c:h val="0.62833475323781263"/>
        </c:manualLayout>
      </c:layout>
      <c:lineChart>
        <c:grouping val="standard"/>
        <c:varyColors val="0"/>
        <c:ser>
          <c:idx val="3"/>
          <c:order val="0"/>
          <c:tx>
            <c:strRef>
              <c:f>'Aggregate Charts'!$AM$43</c:f>
              <c:strCache>
                <c:ptCount val="1"/>
              </c:strCache>
            </c:strRef>
          </c:tx>
          <c:spPr>
            <a:ln w="15875">
              <a:prstDash val="dash"/>
            </a:ln>
          </c:spPr>
          <c:marker>
            <c:symbol val="none"/>
          </c:marker>
          <c:cat>
            <c:numRef>
              <c:f>'Aggregate Charts'!$AI$61:$AI$199</c:f>
              <c:numCache>
                <c:formatCode>General</c:formatCode>
                <c:ptCount val="139"/>
              </c:numCache>
            </c:numRef>
          </c:cat>
          <c:val>
            <c:numRef>
              <c:f>'Aggregate Charts'!$AM$61:$AM$199</c:f>
              <c:numCache>
                <c:formatCode>General</c:formatCode>
                <c:ptCount val="1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3-4105-9E02-AE4C4B1EACAD}"/>
            </c:ext>
          </c:extLst>
        </c:ser>
        <c:ser>
          <c:idx val="1"/>
          <c:order val="1"/>
          <c:tx>
            <c:strRef>
              <c:f>'Aggregate Charts'!$AJ$43</c:f>
              <c:strCache>
                <c:ptCount val="1"/>
              </c:strCache>
            </c:strRef>
          </c:tx>
          <c:marker>
            <c:symbol val="square"/>
            <c:size val="5"/>
          </c:marker>
          <c:cat>
            <c:numRef>
              <c:f>'Aggregate Charts'!$AI$61:$AI$199</c:f>
              <c:numCache>
                <c:formatCode>General</c:formatCode>
                <c:ptCount val="139"/>
              </c:numCache>
            </c:numRef>
          </c:cat>
          <c:val>
            <c:numRef>
              <c:f>'Aggregate Charts'!$AJ$61:$AJ$199</c:f>
              <c:numCache>
                <c:formatCode>General</c:formatCode>
                <c:ptCount val="1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3-4105-9E02-AE4C4B1EACAD}"/>
            </c:ext>
          </c:extLst>
        </c:ser>
        <c:ser>
          <c:idx val="0"/>
          <c:order val="2"/>
          <c:tx>
            <c:strRef>
              <c:f>'Aggregate Charts'!$AK$43</c:f>
              <c:strCache>
                <c:ptCount val="1"/>
              </c:strCache>
            </c:strRef>
          </c:tx>
          <c:spPr>
            <a:ln w="15875"/>
          </c:spPr>
          <c:marker>
            <c:symbol val="none"/>
          </c:marker>
          <c:cat>
            <c:numRef>
              <c:f>'Aggregate Charts'!$AI$61:$AI$199</c:f>
              <c:numCache>
                <c:formatCode>General</c:formatCode>
                <c:ptCount val="139"/>
              </c:numCache>
            </c:numRef>
          </c:cat>
          <c:val>
            <c:numRef>
              <c:f>'Aggregate Charts'!$AK$61:$AK$199</c:f>
              <c:numCache>
                <c:formatCode>General</c:formatCode>
                <c:ptCount val="1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3-4105-9E02-AE4C4B1EACAD}"/>
            </c:ext>
          </c:extLst>
        </c:ser>
        <c:ser>
          <c:idx val="2"/>
          <c:order val="3"/>
          <c:tx>
            <c:strRef>
              <c:f>'Aggregate Charts'!$AL$43</c:f>
              <c:strCache>
                <c:ptCount val="1"/>
              </c:strCache>
            </c:strRef>
          </c:tx>
          <c:spPr>
            <a:ln w="15875">
              <a:prstDash val="dash"/>
            </a:ln>
          </c:spPr>
          <c:marker>
            <c:symbol val="none"/>
          </c:marker>
          <c:cat>
            <c:numRef>
              <c:f>'Aggregate Charts'!$AI$61:$AI$199</c:f>
              <c:numCache>
                <c:formatCode>General</c:formatCode>
                <c:ptCount val="139"/>
              </c:numCache>
            </c:numRef>
          </c:cat>
          <c:val>
            <c:numRef>
              <c:f>'Aggregate Charts'!$AL$61:$AL$199</c:f>
              <c:numCache>
                <c:formatCode>General</c:formatCode>
                <c:ptCount val="1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83-4105-9E02-AE4C4B1EA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172288"/>
        <c:axId val="52174208"/>
      </c:lineChart>
      <c:catAx>
        <c:axId val="52172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Sieve Size</a:t>
                </a:r>
                <a:r>
                  <a:rPr lang="en-US" baseline="0"/>
                  <a:t>  (Opening to the 0.45 power)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2174208"/>
        <c:crosses val="autoZero"/>
        <c:auto val="1"/>
        <c:lblAlgn val="ctr"/>
        <c:lblOffset val="100"/>
        <c:noMultiLvlLbl val="0"/>
      </c:catAx>
      <c:valAx>
        <c:axId val="52174208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Passing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2172288"/>
        <c:crosses val="autoZero"/>
        <c:crossBetween val="between"/>
      </c:valAx>
    </c:plotArea>
    <c:legend>
      <c:legendPos val="r"/>
      <c:overlay val="0"/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span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Coarseness Factor Chart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4947076702117"/>
          <c:y val="0.12337031734669532"/>
          <c:w val="0.6235601487314032"/>
          <c:h val="0.72625536864710094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Calculation!$T$64</c:f>
              <c:strCache>
                <c:ptCount val="1"/>
                <c:pt idx="0">
                  <c:v>Workability Box</c:v>
                </c:pt>
              </c:strCache>
            </c:strRef>
          </c:tx>
          <c:spPr>
            <a:ln w="22225">
              <a:prstDash val="dash"/>
            </a:ln>
          </c:spPr>
          <c:marker>
            <c:symbol val="none"/>
          </c:marker>
          <c:xVal>
            <c:numRef>
              <c:f>Calculation!$T$65:$T$69</c:f>
              <c:numCache>
                <c:formatCode>0%</c:formatCode>
                <c:ptCount val="5"/>
                <c:pt idx="0">
                  <c:v>0.52</c:v>
                </c:pt>
                <c:pt idx="1">
                  <c:v>0.52</c:v>
                </c:pt>
                <c:pt idx="2">
                  <c:v>0.68</c:v>
                </c:pt>
                <c:pt idx="3">
                  <c:v>0.68</c:v>
                </c:pt>
                <c:pt idx="4">
                  <c:v>0.52</c:v>
                </c:pt>
              </c:numCache>
            </c:numRef>
          </c:xVal>
          <c:yVal>
            <c:numRef>
              <c:f>Calculation!$U$65:$U$69</c:f>
              <c:numCache>
                <c:formatCode>0%</c:formatCode>
                <c:ptCount val="5"/>
                <c:pt idx="0">
                  <c:v>0.34</c:v>
                </c:pt>
                <c:pt idx="1">
                  <c:v>0.38</c:v>
                </c:pt>
                <c:pt idx="2">
                  <c:v>0.36</c:v>
                </c:pt>
                <c:pt idx="3">
                  <c:v>0.32</c:v>
                </c:pt>
                <c:pt idx="4">
                  <c:v>0.34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2F-4011-A143-621B0A0635AD}"/>
            </c:ext>
          </c:extLst>
        </c:ser>
        <c:ser>
          <c:idx val="1"/>
          <c:order val="1"/>
          <c:tx>
            <c:strRef>
              <c:f>Calculation!$T$70</c:f>
              <c:strCache>
                <c:ptCount val="1"/>
                <c:pt idx="0">
                  <c:v>Combined Aggregate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xVal>
            <c:numRef>
              <c:f>Calculation!$T$71</c:f>
              <c:numCache>
                <c:formatCode>0%</c:formatCode>
                <c:ptCount val="1"/>
                <c:pt idx="0">
                  <c:v>0</c:v>
                </c:pt>
              </c:numCache>
            </c:numRef>
          </c:xVal>
          <c:yVal>
            <c:numRef>
              <c:f>Calculation!$U$71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2F-4011-A143-621B0A0635AD}"/>
            </c:ext>
          </c:extLst>
        </c:ser>
        <c:ser>
          <c:idx val="2"/>
          <c:order val="2"/>
          <c:tx>
            <c:strRef>
              <c:f>Calculation!$T$72</c:f>
              <c:strCache>
                <c:ptCount val="1"/>
                <c:pt idx="0">
                  <c:v>Zone Lines</c:v>
                </c:pt>
              </c:strCache>
            </c:strRef>
          </c:tx>
          <c:spPr>
            <a:ln w="19050">
              <a:prstDash val="solid"/>
            </a:ln>
          </c:spPr>
          <c:marker>
            <c:symbol val="none"/>
          </c:marker>
          <c:xVal>
            <c:numRef>
              <c:f>Calculation!$T$73:$T$84</c:f>
              <c:numCache>
                <c:formatCode>0%</c:formatCode>
                <c:ptCount val="12"/>
                <c:pt idx="0">
                  <c:v>0.8</c:v>
                </c:pt>
                <c:pt idx="1">
                  <c:v>0.75</c:v>
                </c:pt>
                <c:pt idx="2">
                  <c:v>0.45</c:v>
                </c:pt>
                <c:pt idx="3">
                  <c:v>0.3</c:v>
                </c:pt>
                <c:pt idx="4">
                  <c:v>0.45</c:v>
                </c:pt>
                <c:pt idx="5">
                  <c:v>0.45</c:v>
                </c:pt>
                <c:pt idx="6">
                  <c:v>0.8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0.45</c:v>
                </c:pt>
                <c:pt idx="11">
                  <c:v>0.3</c:v>
                </c:pt>
              </c:numCache>
            </c:numRef>
          </c:xVal>
          <c:yVal>
            <c:numRef>
              <c:f>Calculation!$U$73:$U$84</c:f>
              <c:numCache>
                <c:formatCode>0%</c:formatCode>
                <c:ptCount val="12"/>
                <c:pt idx="0">
                  <c:v>0.26</c:v>
                </c:pt>
                <c:pt idx="1">
                  <c:v>0.26900000000000002</c:v>
                </c:pt>
                <c:pt idx="2">
                  <c:v>0.32300000000000001</c:v>
                </c:pt>
                <c:pt idx="3">
                  <c:v>0.35</c:v>
                </c:pt>
                <c:pt idx="4">
                  <c:v>0.32300000000000001</c:v>
                </c:pt>
                <c:pt idx="5">
                  <c:v>0.443</c:v>
                </c:pt>
                <c:pt idx="6">
                  <c:v>0.38</c:v>
                </c:pt>
                <c:pt idx="7">
                  <c:v>0.38900000000000001</c:v>
                </c:pt>
                <c:pt idx="8">
                  <c:v>0.26900000000000002</c:v>
                </c:pt>
                <c:pt idx="9">
                  <c:v>0.38900000000000001</c:v>
                </c:pt>
                <c:pt idx="10">
                  <c:v>0.443</c:v>
                </c:pt>
                <c:pt idx="11">
                  <c:v>0.47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12F-4011-A143-621B0A0635AD}"/>
            </c:ext>
          </c:extLst>
        </c:ser>
        <c:ser>
          <c:idx val="3"/>
          <c:order val="3"/>
          <c:tx>
            <c:strRef>
              <c:f>Calculation!$T$85</c:f>
              <c:strCache>
                <c:ptCount val="1"/>
                <c:pt idx="0">
                  <c:v>SubZones II-a,b,c</c:v>
                </c:pt>
              </c:strCache>
            </c:strRef>
          </c:tx>
          <c:spPr>
            <a:ln w="15875">
              <a:solidFill>
                <a:srgbClr val="98B954"/>
              </a:solidFill>
              <a:prstDash val="sysDash"/>
            </a:ln>
          </c:spPr>
          <c:marker>
            <c:symbol val="none"/>
          </c:marker>
          <c:xVal>
            <c:numRef>
              <c:f>Calculation!$T$86:$T$89</c:f>
              <c:numCache>
                <c:formatCode>0%</c:formatCode>
                <c:ptCount val="4"/>
                <c:pt idx="0">
                  <c:v>0.75</c:v>
                </c:pt>
                <c:pt idx="1">
                  <c:v>0.45</c:v>
                </c:pt>
                <c:pt idx="2">
                  <c:v>0.45</c:v>
                </c:pt>
                <c:pt idx="3">
                  <c:v>0.75</c:v>
                </c:pt>
              </c:numCache>
            </c:numRef>
          </c:xVal>
          <c:yVal>
            <c:numRef>
              <c:f>Calculation!$U$86:$U$89</c:f>
              <c:numCache>
                <c:formatCode>General</c:formatCode>
                <c:ptCount val="4"/>
                <c:pt idx="0">
                  <c:v>0.30499999999999999</c:v>
                </c:pt>
                <c:pt idx="1">
                  <c:v>0.35899999999999999</c:v>
                </c:pt>
                <c:pt idx="2">
                  <c:v>0.39500000000000002</c:v>
                </c:pt>
                <c:pt idx="3">
                  <c:v>0.34100000000000003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12F-4011-A143-621B0A063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210304"/>
        <c:axId val="52237056"/>
      </c:scatterChart>
      <c:valAx>
        <c:axId val="52210304"/>
        <c:scaling>
          <c:orientation val="maxMin"/>
          <c:max val="0.8"/>
          <c:min val="0.30000000000000032"/>
        </c:scaling>
        <c:delete val="0"/>
        <c:axPos val="b"/>
        <c:majorGridlines>
          <c:spPr>
            <a:ln w="9525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Coarseness Factor, CF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52237056"/>
        <c:crosses val="autoZero"/>
        <c:crossBetween val="midCat"/>
      </c:valAx>
      <c:valAx>
        <c:axId val="52237056"/>
        <c:scaling>
          <c:orientation val="minMax"/>
          <c:max val="0.45"/>
          <c:min val="0.2"/>
        </c:scaling>
        <c:delete val="0"/>
        <c:axPos val="l"/>
        <c:majorGridlines>
          <c:spPr>
            <a:ln w="9525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Workability Factor, WF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52210304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72906831732738664"/>
          <c:y val="0.40874303615273638"/>
          <c:w val="0.2709317124833065"/>
          <c:h val="0.2739835361488904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0.45 Power Chart</a:t>
            </a:r>
          </a:p>
        </c:rich>
      </c:tx>
      <c:layout>
        <c:manualLayout>
          <c:xMode val="edge"/>
          <c:yMode val="edge"/>
          <c:x val="0.3565975711661568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43285214348206"/>
          <c:y val="0.13585818166171851"/>
          <c:w val="0.80095603674540683"/>
          <c:h val="0.62833475323781263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Calculation!$AQ$42</c:f>
              <c:strCache>
                <c:ptCount val="1"/>
                <c:pt idx="0">
                  <c:v>Sieve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noFill/>
            </a:ln>
          </c:spPr>
          <c:invertIfNegative val="0"/>
          <c:val>
            <c:numRef>
              <c:f>Calculation!$AQ$60:$AQ$198</c:f>
              <c:numCache>
                <c:formatCode>General</c:formatCode>
                <c:ptCount val="13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 formatCode="0%">
                  <c:v>1</c:v>
                </c:pt>
                <c:pt idx="8">
                  <c:v>#N/A</c:v>
                </c:pt>
                <c:pt idx="9">
                  <c:v>#N/A</c:v>
                </c:pt>
                <c:pt idx="10" formatCode="0%">
                  <c:v>1</c:v>
                </c:pt>
                <c:pt idx="11">
                  <c:v>#N/A</c:v>
                </c:pt>
                <c:pt idx="12">
                  <c:v>#N/A</c:v>
                </c:pt>
                <c:pt idx="13" formatCode="0%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0%">
                  <c:v>1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 formatCode="0%">
                  <c:v>1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 formatCode="0%">
                  <c:v>1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 formatCode="0%">
                  <c:v>1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 formatCode="0%">
                  <c:v>1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 formatCode="0%">
                  <c:v>1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 formatCode="0%">
                  <c:v>1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 formatCode="0%">
                  <c:v>1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 formatCode="0%">
                  <c:v>1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 formatCode="0%">
                  <c:v>1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5-4D83-BCF5-000D8F77D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33539328"/>
        <c:axId val="141870592"/>
      </c:barChart>
      <c:lineChart>
        <c:grouping val="standard"/>
        <c:varyColors val="0"/>
        <c:ser>
          <c:idx val="3"/>
          <c:order val="0"/>
          <c:tx>
            <c:strRef>
              <c:f>Calculation!$AP$42</c:f>
              <c:strCache>
                <c:ptCount val="1"/>
                <c:pt idx="0">
                  <c:v>High</c:v>
                </c:pt>
              </c:strCache>
            </c:strRef>
          </c:tx>
          <c:spPr>
            <a:ln w="15875">
              <a:prstDash val="dash"/>
            </a:ln>
          </c:spPr>
          <c:marker>
            <c:symbol val="none"/>
          </c:marker>
          <c:cat>
            <c:strRef>
              <c:f>Calculation!$AL$60:$AL$198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Calculation!$AP$60:$AP$198</c:f>
              <c:numCache>
                <c:formatCode>0%</c:formatCode>
                <c:ptCount val="139"/>
                <c:pt idx="0">
                  <c:v>7.0000000000000007E-2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5-4D83-BCF5-000D8F77D615}"/>
            </c:ext>
          </c:extLst>
        </c:ser>
        <c:ser>
          <c:idx val="1"/>
          <c:order val="1"/>
          <c:tx>
            <c:strRef>
              <c:f>Calculation!$AM$42</c:f>
              <c:strCache>
                <c:ptCount val="1"/>
                <c:pt idx="0">
                  <c:v>% Passing</c:v>
                </c:pt>
              </c:strCache>
            </c:strRef>
          </c:tx>
          <c:marker>
            <c:symbol val="square"/>
            <c:size val="5"/>
          </c:marker>
          <c:cat>
            <c:strRef>
              <c:f>Calculation!$AL$60:$AL$198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Calculation!$AM$60:$AM$198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0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0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0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0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15-4D83-BCF5-000D8F77D615}"/>
            </c:ext>
          </c:extLst>
        </c:ser>
        <c:ser>
          <c:idx val="0"/>
          <c:order val="2"/>
          <c:tx>
            <c:strRef>
              <c:f>Calculation!$AN$42</c:f>
              <c:strCache>
                <c:ptCount val="1"/>
                <c:pt idx="0">
                  <c:v>Power Chart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strRef>
              <c:f>Calculation!$AL$60:$AL$198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Calculation!$AN$60:$AN$198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15-4D83-BCF5-000D8F77D615}"/>
            </c:ext>
          </c:extLst>
        </c:ser>
        <c:ser>
          <c:idx val="2"/>
          <c:order val="3"/>
          <c:tx>
            <c:strRef>
              <c:f>Calculation!$AO$42</c:f>
              <c:strCache>
                <c:ptCount val="1"/>
                <c:pt idx="0">
                  <c:v>Low</c:v>
                </c:pt>
              </c:strCache>
            </c:strRef>
          </c:tx>
          <c:spPr>
            <a:ln w="15875">
              <a:prstDash val="dashDot"/>
            </a:ln>
          </c:spPr>
          <c:marker>
            <c:symbol val="none"/>
          </c:marker>
          <c:cat>
            <c:strRef>
              <c:f>Calculation!$AL$60:$AL$198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Calculation!$AO$60:$AO$198</c:f>
              <c:numCache>
                <c:formatCode>0%</c:formatCode>
                <c:ptCount val="139"/>
                <c:pt idx="0">
                  <c:v>-7.0000000000000007E-2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15-4D83-BCF5-000D8F77D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39328"/>
        <c:axId val="141870592"/>
      </c:lineChart>
      <c:catAx>
        <c:axId val="133539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Sieve Size</a:t>
                </a:r>
                <a:r>
                  <a:rPr lang="en-US" baseline="0"/>
                  <a:t>  (Opening to the 0.45 power)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41870592"/>
        <c:crosses val="autoZero"/>
        <c:auto val="1"/>
        <c:lblAlgn val="ctr"/>
        <c:lblOffset val="100"/>
        <c:noMultiLvlLbl val="0"/>
      </c:catAx>
      <c:valAx>
        <c:axId val="141870592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Passing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133539328"/>
        <c:crosses val="autoZero"/>
        <c:crossBetween val="between"/>
      </c:valAx>
      <c:spPr>
        <a:ln w="6350">
          <a:solidFill>
            <a:sysClr val="windowText" lastClr="000000">
              <a:lumMod val="85000"/>
              <a:lumOff val="15000"/>
            </a:sysClr>
          </a:solidFill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9404408559489803"/>
          <c:y val="0.38220004220577958"/>
          <c:w val="0.20273631840796097"/>
          <c:h val="0.28923312470556523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span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Retained Chart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0563926877561439"/>
          <c:y val="8.9303109838542907E-2"/>
          <c:w val="0.65989280287333096"/>
          <c:h val="0.67576393859859385"/>
        </c:manualLayout>
      </c:layout>
      <c:lineChart>
        <c:grouping val="standard"/>
        <c:varyColors val="0"/>
        <c:ser>
          <c:idx val="2"/>
          <c:order val="0"/>
          <c:tx>
            <c:strRef>
              <c:f>Calculation!$Z$64</c:f>
              <c:strCache>
                <c:ptCount val="1"/>
                <c:pt idx="0">
                  <c:v>High</c:v>
                </c:pt>
              </c:strCache>
            </c:strRef>
          </c:tx>
          <c:spPr>
            <a:ln w="22225">
              <a:prstDash val="dash"/>
            </a:ln>
          </c:spPr>
          <c:marker>
            <c:symbol val="none"/>
          </c:marker>
          <c:cat>
            <c:strRef>
              <c:f>Calculation!$W$65:$W$77</c:f>
              <c:strCache>
                <c:ptCount val="13"/>
                <c:pt idx="0">
                  <c:v>2 in.</c:v>
                </c:pt>
                <c:pt idx="1">
                  <c:v>1 1/2 in.</c:v>
                </c:pt>
                <c:pt idx="2">
                  <c:v>1 in.</c:v>
                </c:pt>
                <c:pt idx="3">
                  <c:v>3/4 in.</c:v>
                </c:pt>
                <c:pt idx="4">
                  <c:v>1/2 in.</c:v>
                </c:pt>
                <c:pt idx="5">
                  <c:v>3/8 in.</c:v>
                </c:pt>
                <c:pt idx="6">
                  <c:v>No. 4</c:v>
                </c:pt>
                <c:pt idx="7">
                  <c:v>No. 8</c:v>
                </c:pt>
                <c:pt idx="8">
                  <c:v>No. 16</c:v>
                </c:pt>
                <c:pt idx="9">
                  <c:v>No. 30</c:v>
                </c:pt>
                <c:pt idx="10">
                  <c:v>No. 50</c:v>
                </c:pt>
                <c:pt idx="11">
                  <c:v>No. 100</c:v>
                </c:pt>
                <c:pt idx="12">
                  <c:v>No. 200</c:v>
                </c:pt>
              </c:strCache>
            </c:strRef>
          </c:cat>
          <c:val>
            <c:numRef>
              <c:f>Calculation!$Z$65:$Z$77</c:f>
              <c:numCache>
                <c:formatCode>0.0%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0.15</c:v>
                </c:pt>
                <c:pt idx="10">
                  <c:v>0.15</c:v>
                </c:pt>
                <c:pt idx="11">
                  <c:v>7.4999999999999997E-2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F-4687-BBFD-02CFFB6B80FE}"/>
            </c:ext>
          </c:extLst>
        </c:ser>
        <c:ser>
          <c:idx val="0"/>
          <c:order val="1"/>
          <c:tx>
            <c:strRef>
              <c:f>Calculation!$X$64</c:f>
              <c:strCache>
                <c:ptCount val="1"/>
                <c:pt idx="0">
                  <c:v>% Retained</c:v>
                </c:pt>
              </c:strCache>
            </c:strRef>
          </c:tx>
          <c:cat>
            <c:strRef>
              <c:f>Calculation!$W$65:$W$77</c:f>
              <c:strCache>
                <c:ptCount val="13"/>
                <c:pt idx="0">
                  <c:v>2 in.</c:v>
                </c:pt>
                <c:pt idx="1">
                  <c:v>1 1/2 in.</c:v>
                </c:pt>
                <c:pt idx="2">
                  <c:v>1 in.</c:v>
                </c:pt>
                <c:pt idx="3">
                  <c:v>3/4 in.</c:v>
                </c:pt>
                <c:pt idx="4">
                  <c:v>1/2 in.</c:v>
                </c:pt>
                <c:pt idx="5">
                  <c:v>3/8 in.</c:v>
                </c:pt>
                <c:pt idx="6">
                  <c:v>No. 4</c:v>
                </c:pt>
                <c:pt idx="7">
                  <c:v>No. 8</c:v>
                </c:pt>
                <c:pt idx="8">
                  <c:v>No. 16</c:v>
                </c:pt>
                <c:pt idx="9">
                  <c:v>No. 30</c:v>
                </c:pt>
                <c:pt idx="10">
                  <c:v>No. 50</c:v>
                </c:pt>
                <c:pt idx="11">
                  <c:v>No. 100</c:v>
                </c:pt>
                <c:pt idx="12">
                  <c:v>No. 200</c:v>
                </c:pt>
              </c:strCache>
            </c:strRef>
          </c:cat>
          <c:val>
            <c:numRef>
              <c:f>Calculation!$X$65:$X$77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F-4687-BBFD-02CFFB6B80FE}"/>
            </c:ext>
          </c:extLst>
        </c:ser>
        <c:ser>
          <c:idx val="1"/>
          <c:order val="2"/>
          <c:tx>
            <c:strRef>
              <c:f>Calculation!$Y$64</c:f>
              <c:strCache>
                <c:ptCount val="1"/>
                <c:pt idx="0">
                  <c:v>Low</c:v>
                </c:pt>
              </c:strCache>
            </c:strRef>
          </c:tx>
          <c:spPr>
            <a:ln w="22225">
              <a:prstDash val="dashDot"/>
            </a:ln>
          </c:spPr>
          <c:marker>
            <c:symbol val="none"/>
          </c:marker>
          <c:cat>
            <c:strRef>
              <c:f>Calculation!$W$65:$W$77</c:f>
              <c:strCache>
                <c:ptCount val="13"/>
                <c:pt idx="0">
                  <c:v>2 in.</c:v>
                </c:pt>
                <c:pt idx="1">
                  <c:v>1 1/2 in.</c:v>
                </c:pt>
                <c:pt idx="2">
                  <c:v>1 in.</c:v>
                </c:pt>
                <c:pt idx="3">
                  <c:v>3/4 in.</c:v>
                </c:pt>
                <c:pt idx="4">
                  <c:v>1/2 in.</c:v>
                </c:pt>
                <c:pt idx="5">
                  <c:v>3/8 in.</c:v>
                </c:pt>
                <c:pt idx="6">
                  <c:v>No. 4</c:v>
                </c:pt>
                <c:pt idx="7">
                  <c:v>No. 8</c:v>
                </c:pt>
                <c:pt idx="8">
                  <c:v>No. 16</c:v>
                </c:pt>
                <c:pt idx="9">
                  <c:v>No. 30</c:v>
                </c:pt>
                <c:pt idx="10">
                  <c:v>No. 50</c:v>
                </c:pt>
                <c:pt idx="11">
                  <c:v>No. 100</c:v>
                </c:pt>
                <c:pt idx="12">
                  <c:v>No. 200</c:v>
                </c:pt>
              </c:strCache>
            </c:strRef>
          </c:cat>
          <c:val>
            <c:numRef>
              <c:f>Calculation!$Y$65:$Y$77</c:f>
              <c:numCache>
                <c:formatCode>0.0%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FF-4687-BBFD-02CFFB6B8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54592"/>
        <c:axId val="52256768"/>
      </c:lineChart>
      <c:catAx>
        <c:axId val="52254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Sieve Size</a:t>
                </a:r>
              </a:p>
            </c:rich>
          </c:tx>
          <c:layout>
            <c:manualLayout>
              <c:xMode val="edge"/>
              <c:yMode val="edge"/>
              <c:x val="0.38128157664502482"/>
              <c:y val="0.926444285373419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2256768"/>
        <c:crosses val="autoZero"/>
        <c:auto val="1"/>
        <c:lblAlgn val="ctr"/>
        <c:lblOffset val="100"/>
        <c:tickLblSkip val="1"/>
        <c:noMultiLvlLbl val="0"/>
      </c:catAx>
      <c:valAx>
        <c:axId val="52256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Retained on Sieve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2254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0.45 Power Chart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43285214348206"/>
          <c:y val="0.13585818166171851"/>
          <c:w val="0.80095603674540683"/>
          <c:h val="0.62833475323781263"/>
        </c:manualLayout>
      </c:layout>
      <c:barChart>
        <c:barDir val="col"/>
        <c:grouping val="clustered"/>
        <c:varyColors val="0"/>
        <c:ser>
          <c:idx val="4"/>
          <c:order val="3"/>
          <c:tx>
            <c:strRef>
              <c:f>Calculation!$AQ$42</c:f>
              <c:strCache>
                <c:ptCount val="1"/>
                <c:pt idx="0">
                  <c:v>Sieve</c:v>
                </c:pt>
              </c:strCache>
            </c:strRef>
          </c:tx>
          <c:invertIfNegative val="0"/>
          <c:val>
            <c:numRef>
              <c:f>Calculation!$AQ$60:$AQ$198</c:f>
              <c:numCache>
                <c:formatCode>General</c:formatCode>
                <c:ptCount val="13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 formatCode="0%">
                  <c:v>1</c:v>
                </c:pt>
                <c:pt idx="8">
                  <c:v>#N/A</c:v>
                </c:pt>
                <c:pt idx="9">
                  <c:v>#N/A</c:v>
                </c:pt>
                <c:pt idx="10" formatCode="0%">
                  <c:v>1</c:v>
                </c:pt>
                <c:pt idx="11">
                  <c:v>#N/A</c:v>
                </c:pt>
                <c:pt idx="12">
                  <c:v>#N/A</c:v>
                </c:pt>
                <c:pt idx="13" formatCode="0%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0%">
                  <c:v>1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 formatCode="0%">
                  <c:v>1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 formatCode="0%">
                  <c:v>1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 formatCode="0%">
                  <c:v>1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 formatCode="0%">
                  <c:v>1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 formatCode="0%">
                  <c:v>1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 formatCode="0%">
                  <c:v>1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 formatCode="0%">
                  <c:v>1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 formatCode="0%">
                  <c:v>1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 formatCode="0%">
                  <c:v>1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7-4B76-B0BE-F00B14912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52469760"/>
        <c:axId val="52471680"/>
      </c:barChart>
      <c:lineChart>
        <c:grouping val="standard"/>
        <c:varyColors val="0"/>
        <c:ser>
          <c:idx val="3"/>
          <c:order val="0"/>
          <c:tx>
            <c:strRef>
              <c:f>Calculation!$AP$42</c:f>
              <c:strCache>
                <c:ptCount val="1"/>
                <c:pt idx="0">
                  <c:v>High</c:v>
                </c:pt>
              </c:strCache>
            </c:strRef>
          </c:tx>
          <c:spPr>
            <a:ln w="15875">
              <a:prstDash val="dash"/>
            </a:ln>
          </c:spPr>
          <c:marker>
            <c:symbol val="none"/>
          </c:marker>
          <c:cat>
            <c:strRef>
              <c:f>Calculation!$AL$60:$AL$198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Calculation!$AP$60:$AP$198</c:f>
              <c:numCache>
                <c:formatCode>0%</c:formatCode>
                <c:ptCount val="139"/>
                <c:pt idx="0">
                  <c:v>7.0000000000000007E-2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7-4B76-B0BE-F00B1491220C}"/>
            </c:ext>
          </c:extLst>
        </c:ser>
        <c:ser>
          <c:idx val="1"/>
          <c:order val="1"/>
          <c:tx>
            <c:strRef>
              <c:f>Calculation!$AM$42</c:f>
              <c:strCache>
                <c:ptCount val="1"/>
                <c:pt idx="0">
                  <c:v>% Passing</c:v>
                </c:pt>
              </c:strCache>
            </c:strRef>
          </c:tx>
          <c:marker>
            <c:symbol val="square"/>
            <c:size val="5"/>
          </c:marker>
          <c:cat>
            <c:strRef>
              <c:f>Calculation!$AL$60:$AL$198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Calculation!$AM$60:$AM$198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0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0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0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0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C7-4B76-B0BE-F00B1491220C}"/>
            </c:ext>
          </c:extLst>
        </c:ser>
        <c:ser>
          <c:idx val="0"/>
          <c:order val="2"/>
          <c:tx>
            <c:strRef>
              <c:f>Calculation!$AN$42</c:f>
              <c:strCache>
                <c:ptCount val="1"/>
                <c:pt idx="0">
                  <c:v>Power Chart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strRef>
              <c:f>Calculation!$AL$60:$AL$198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Calculation!$AN$60:$AN$198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C7-4B76-B0BE-F00B1491220C}"/>
            </c:ext>
          </c:extLst>
        </c:ser>
        <c:ser>
          <c:idx val="2"/>
          <c:order val="4"/>
          <c:tx>
            <c:strRef>
              <c:f>Calculation!$AO$42</c:f>
              <c:strCache>
                <c:ptCount val="1"/>
                <c:pt idx="0">
                  <c:v>Low</c:v>
                </c:pt>
              </c:strCache>
            </c:strRef>
          </c:tx>
          <c:spPr>
            <a:ln w="15875">
              <a:prstDash val="dash"/>
            </a:ln>
          </c:spPr>
          <c:marker>
            <c:symbol val="none"/>
          </c:marker>
          <c:cat>
            <c:strRef>
              <c:f>Calculation!$AL$60:$AL$198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Calculation!$AO$60:$AO$198</c:f>
              <c:numCache>
                <c:formatCode>0%</c:formatCode>
                <c:ptCount val="139"/>
                <c:pt idx="0">
                  <c:v>-7.0000000000000007E-2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C7-4B76-B0BE-F00B14912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69760"/>
        <c:axId val="52471680"/>
      </c:lineChart>
      <c:catAx>
        <c:axId val="5246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Sieve Size</a:t>
                </a:r>
                <a:r>
                  <a:rPr lang="en-US" baseline="0"/>
                  <a:t>  (Opening to the 0.45 power)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2471680"/>
        <c:crosses val="autoZero"/>
        <c:auto val="1"/>
        <c:lblAlgn val="ctr"/>
        <c:lblOffset val="100"/>
        <c:noMultiLvlLbl val="0"/>
      </c:catAx>
      <c:valAx>
        <c:axId val="52471680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Passing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2469760"/>
        <c:crosses val="autoZero"/>
        <c:crossBetween val="between"/>
      </c:valAx>
    </c:plotArea>
    <c:legend>
      <c:legendPos val="r"/>
      <c:legendEntry>
        <c:idx val="0"/>
        <c:delete val="1"/>
      </c:legendEntry>
      <c:overlay val="0"/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span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0.45 Power Chart (Best Fit Example)</a:t>
            </a:r>
          </a:p>
        </c:rich>
      </c:tx>
      <c:layout>
        <c:manualLayout>
          <c:xMode val="edge"/>
          <c:yMode val="edge"/>
          <c:x val="0.18088299488879694"/>
          <c:y val="2.62295081967213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43285214348206"/>
          <c:y val="0.13585818166171851"/>
          <c:w val="0.80095603674540683"/>
          <c:h val="0.62833475323781263"/>
        </c:manualLayout>
      </c:layout>
      <c:lineChart>
        <c:grouping val="standard"/>
        <c:varyColors val="0"/>
        <c:ser>
          <c:idx val="3"/>
          <c:order val="0"/>
          <c:tx>
            <c:strRef>
              <c:f>'Calculation (4)'!$AW$42</c:f>
              <c:strCache>
                <c:ptCount val="1"/>
                <c:pt idx="0">
                  <c:v>High</c:v>
                </c:pt>
              </c:strCache>
            </c:strRef>
          </c:tx>
          <c:spPr>
            <a:ln w="15875">
              <a:prstDash val="dash"/>
            </a:ln>
          </c:spPr>
          <c:marker>
            <c:symbol val="none"/>
          </c:marker>
          <c:cat>
            <c:strRef>
              <c:f>'Calculation (4)'!$AL$60:$AL$198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(4)'!$AW$60:$AW$198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0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0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0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0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1-4548-A587-97C3568670B0}"/>
            </c:ext>
          </c:extLst>
        </c:ser>
        <c:ser>
          <c:idx val="1"/>
          <c:order val="1"/>
          <c:tx>
            <c:strRef>
              <c:f>'Calculation (4)'!$AM$42</c:f>
              <c:strCache>
                <c:ptCount val="1"/>
                <c:pt idx="0">
                  <c:v>#REF!</c:v>
                </c:pt>
              </c:strCache>
            </c:strRef>
          </c:tx>
          <c:marker>
            <c:symbol val="square"/>
            <c:size val="5"/>
          </c:marker>
          <c:cat>
            <c:strRef>
              <c:f>'Calculation (4)'!$AL$60:$AL$198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(4)'!$AM$60:$AM$198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0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0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0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0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1-4548-A587-97C3568670B0}"/>
            </c:ext>
          </c:extLst>
        </c:ser>
        <c:ser>
          <c:idx val="0"/>
          <c:order val="2"/>
          <c:tx>
            <c:strRef>
              <c:f>'Calculation (4)'!$AU$42</c:f>
              <c:strCache>
                <c:ptCount val="1"/>
                <c:pt idx="0">
                  <c:v>Best Fit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strRef>
              <c:f>'Calculation (4)'!$AL$60:$AL$198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(4)'!$AU$60:$AU$198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0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0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0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0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B1-4548-A587-97C3568670B0}"/>
            </c:ext>
          </c:extLst>
        </c:ser>
        <c:ser>
          <c:idx val="2"/>
          <c:order val="3"/>
          <c:tx>
            <c:strRef>
              <c:f>'Calculation (4)'!$AV$42</c:f>
              <c:strCache>
                <c:ptCount val="1"/>
                <c:pt idx="0">
                  <c:v>Low</c:v>
                </c:pt>
              </c:strCache>
            </c:strRef>
          </c:tx>
          <c:spPr>
            <a:ln w="15875">
              <a:prstDash val="dash"/>
            </a:ln>
          </c:spPr>
          <c:marker>
            <c:symbol val="none"/>
          </c:marker>
          <c:cat>
            <c:strRef>
              <c:f>'Calculation (4)'!$AL$60:$AL$198</c:f>
              <c:strCache>
                <c:ptCount val="132"/>
                <c:pt idx="0">
                  <c:v>Pan</c:v>
                </c:pt>
                <c:pt idx="7">
                  <c:v>No. 200</c:v>
                </c:pt>
                <c:pt idx="10">
                  <c:v>No. 100</c:v>
                </c:pt>
                <c:pt idx="13">
                  <c:v>No. 50</c:v>
                </c:pt>
                <c:pt idx="18">
                  <c:v>No. 30</c:v>
                </c:pt>
                <c:pt idx="24">
                  <c:v>No. 16</c:v>
                </c:pt>
                <c:pt idx="33">
                  <c:v>No. 8</c:v>
                </c:pt>
                <c:pt idx="45">
                  <c:v>No. 4</c:v>
                </c:pt>
                <c:pt idx="62">
                  <c:v>3/8 in.</c:v>
                </c:pt>
                <c:pt idx="70">
                  <c:v>1/2 in.</c:v>
                </c:pt>
                <c:pt idx="84">
                  <c:v>3/4 in.</c:v>
                </c:pt>
                <c:pt idx="96">
                  <c:v>1 in.</c:v>
                </c:pt>
                <c:pt idx="115">
                  <c:v>1 1/2 in.</c:v>
                </c:pt>
                <c:pt idx="131">
                  <c:v>2 in.</c:v>
                </c:pt>
              </c:strCache>
            </c:strRef>
          </c:cat>
          <c:val>
            <c:numRef>
              <c:f>'Calculation (4)'!$AV$60:$AV$198</c:f>
              <c:numCache>
                <c:formatCode>0%</c:formatCode>
                <c:ptCount val="13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0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0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0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0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0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0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B1-4548-A587-97C356867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2935680"/>
        <c:axId val="395367168"/>
      </c:lineChart>
      <c:catAx>
        <c:axId val="392935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Sieve Size</a:t>
                </a:r>
                <a:r>
                  <a:rPr lang="en-US" baseline="0"/>
                  <a:t>  (Opening to the 0.45 power)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395367168"/>
        <c:crosses val="autoZero"/>
        <c:auto val="1"/>
        <c:lblAlgn val="ctr"/>
        <c:lblOffset val="100"/>
        <c:noMultiLvlLbl val="0"/>
      </c:catAx>
      <c:valAx>
        <c:axId val="395367168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Passing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392935680"/>
        <c:crosses val="autoZero"/>
        <c:crossBetween val="between"/>
      </c:valAx>
    </c:plotArea>
    <c:legend>
      <c:legendPos val="r"/>
      <c:overlay val="0"/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span"/>
    <c:showDLblsOverMax val="0"/>
  </c:chart>
  <c:printSettings>
    <c:headerFooter/>
    <c:pageMargins b="0.75000000000000433" l="0.70000000000000062" r="0.70000000000000062" t="0.75000000000000433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Coarseness Factor Chart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4947076702117"/>
          <c:y val="0.12337031734669532"/>
          <c:w val="0.6235601487314032"/>
          <c:h val="0.72625536864710094"/>
        </c:manualLayout>
      </c:layout>
      <c:scatterChart>
        <c:scatterStyle val="lineMarker"/>
        <c:varyColors val="0"/>
        <c:ser>
          <c:idx val="0"/>
          <c:order val="0"/>
          <c:spPr>
            <a:ln w="22225">
              <a:prstDash val="dash"/>
            </a:ln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155-478C-871C-8AFC06E858E9}"/>
            </c:ext>
          </c:extLst>
        </c:ser>
        <c:ser>
          <c:idx val="1"/>
          <c:order val="1"/>
          <c:spPr>
            <a:ln>
              <a:noFill/>
            </a:ln>
          </c:spPr>
          <c:marker>
            <c:symbol val="circle"/>
            <c:size val="7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155-478C-871C-8AFC06E858E9}"/>
            </c:ext>
          </c:extLst>
        </c:ser>
        <c:ser>
          <c:idx val="2"/>
          <c:order val="2"/>
          <c:spPr>
            <a:ln w="19050">
              <a:prstDash val="solid"/>
            </a:ln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0155-478C-871C-8AFC06E858E9}"/>
            </c:ext>
          </c:extLst>
        </c:ser>
        <c:ser>
          <c:idx val="3"/>
          <c:order val="3"/>
          <c:spPr>
            <a:ln w="15875">
              <a:solidFill>
                <a:srgbClr val="98B954"/>
              </a:solidFill>
              <a:prstDash val="sysDash"/>
            </a:ln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0155-478C-871C-8AFC06E85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86912"/>
        <c:axId val="46888832"/>
      </c:scatterChart>
      <c:valAx>
        <c:axId val="46886912"/>
        <c:scaling>
          <c:orientation val="maxMin"/>
          <c:max val="0.8"/>
          <c:min val="0.30000000000000032"/>
        </c:scaling>
        <c:delete val="0"/>
        <c:axPos val="b"/>
        <c:majorGridlines>
          <c:spPr>
            <a:ln w="9525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Coarseness Factor, CF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6888832"/>
        <c:crosses val="autoZero"/>
        <c:crossBetween val="midCat"/>
      </c:valAx>
      <c:valAx>
        <c:axId val="46888832"/>
        <c:scaling>
          <c:orientation val="minMax"/>
          <c:max val="0.45"/>
          <c:min val="0.2"/>
        </c:scaling>
        <c:delete val="0"/>
        <c:axPos val="l"/>
        <c:majorGridlines>
          <c:spPr>
            <a:ln w="9525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Workability Factor, WF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6886912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72906831732738664"/>
          <c:y val="0.40874303615273638"/>
          <c:w val="0.2709317124833065"/>
          <c:h val="0.2739835361488904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Retained Chart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0563926877561439"/>
          <c:y val="8.9303109838542907E-2"/>
          <c:w val="0.65989280287333096"/>
          <c:h val="0.67576393859859385"/>
        </c:manualLayout>
      </c:layout>
      <c:lineChart>
        <c:grouping val="standard"/>
        <c:varyColors val="0"/>
        <c:ser>
          <c:idx val="2"/>
          <c:order val="0"/>
          <c:spPr>
            <a:ln w="22225">
              <a:prstDash val="dash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517-40D8-8062-7C9D2AB05BD9}"/>
            </c:ext>
          </c:extLst>
        </c:ser>
        <c:ser>
          <c:idx val="0"/>
          <c:order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517-40D8-8062-7C9D2AB05BD9}"/>
            </c:ext>
          </c:extLst>
        </c:ser>
        <c:ser>
          <c:idx val="1"/>
          <c:order val="2"/>
          <c:spPr>
            <a:ln w="22225">
              <a:prstDash val="dashDot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517-40D8-8062-7C9D2AB05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02656"/>
        <c:axId val="46904832"/>
      </c:lineChart>
      <c:catAx>
        <c:axId val="46902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Sieve Size</a:t>
                </a:r>
              </a:p>
            </c:rich>
          </c:tx>
          <c:layout>
            <c:manualLayout>
              <c:xMode val="edge"/>
              <c:yMode val="edge"/>
              <c:x val="0.38128157664502482"/>
              <c:y val="0.926444285373419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6904832"/>
        <c:crosses val="autoZero"/>
        <c:auto val="1"/>
        <c:lblAlgn val="ctr"/>
        <c:lblOffset val="100"/>
        <c:tickLblSkip val="1"/>
        <c:noMultiLvlLbl val="0"/>
      </c:catAx>
      <c:valAx>
        <c:axId val="46904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Retained on Sieve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46902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0.45 Power Chart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43285214348206"/>
          <c:y val="0.13585818166171851"/>
          <c:w val="0.80095603674540683"/>
          <c:h val="0.62833475323781263"/>
        </c:manualLayout>
      </c:layout>
      <c:lineChart>
        <c:grouping val="standard"/>
        <c:varyColors val="0"/>
        <c:ser>
          <c:idx val="3"/>
          <c:order val="0"/>
          <c:spPr>
            <a:ln w="15875">
              <a:prstDash val="dash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49F-4F47-A7FF-97CA75BE9C2E}"/>
            </c:ext>
          </c:extLst>
        </c:ser>
        <c:ser>
          <c:idx val="1"/>
          <c:order val="1"/>
          <c:marker>
            <c:symbol val="square"/>
            <c:size val="5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49F-4F47-A7FF-97CA75BE9C2E}"/>
            </c:ext>
          </c:extLst>
        </c:ser>
        <c:ser>
          <c:idx val="0"/>
          <c:order val="2"/>
          <c:spPr>
            <a:ln w="15875"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49F-4F47-A7FF-97CA75BE9C2E}"/>
            </c:ext>
          </c:extLst>
        </c:ser>
        <c:ser>
          <c:idx val="2"/>
          <c:order val="3"/>
          <c:spPr>
            <a:ln w="15875">
              <a:prstDash val="dash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49F-4F47-A7FF-97CA75BE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631232"/>
        <c:axId val="49633152"/>
      </c:lineChart>
      <c:catAx>
        <c:axId val="4963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Sieve Size</a:t>
                </a:r>
                <a:r>
                  <a:rPr lang="en-US" baseline="0"/>
                  <a:t>  (Opening to the 0.45 power)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9633152"/>
        <c:crosses val="autoZero"/>
        <c:auto val="1"/>
        <c:lblAlgn val="ctr"/>
        <c:lblOffset val="100"/>
        <c:noMultiLvlLbl val="0"/>
      </c:catAx>
      <c:valAx>
        <c:axId val="49633152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Passing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49631232"/>
        <c:crosses val="autoZero"/>
        <c:crossBetween val="between"/>
      </c:valAx>
    </c:plotArea>
    <c:legend>
      <c:legendPos val="r"/>
      <c:overlay val="0"/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span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Coarseness Factor Chart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4947076702117"/>
          <c:y val="0.12337031734669532"/>
          <c:w val="0.6235601487314032"/>
          <c:h val="0.72625536864710094"/>
        </c:manualLayout>
      </c:layout>
      <c:scatterChart>
        <c:scatterStyle val="lineMarker"/>
        <c:varyColors val="0"/>
        <c:ser>
          <c:idx val="0"/>
          <c:order val="0"/>
          <c:tx>
            <c:strRef>
              <c:f>'Calculation (4)'!$T$64</c:f>
              <c:strCache>
                <c:ptCount val="1"/>
                <c:pt idx="0">
                  <c:v>Workability Box</c:v>
                </c:pt>
              </c:strCache>
            </c:strRef>
          </c:tx>
          <c:spPr>
            <a:ln w="22225">
              <a:prstDash val="dash"/>
            </a:ln>
          </c:spPr>
          <c:marker>
            <c:symbol val="none"/>
          </c:marker>
          <c:xVal>
            <c:numRef>
              <c:f>'Calculation (4)'!$T$65:$T$69</c:f>
              <c:numCache>
                <c:formatCode>0%</c:formatCode>
                <c:ptCount val="5"/>
                <c:pt idx="0">
                  <c:v>0.52</c:v>
                </c:pt>
                <c:pt idx="1">
                  <c:v>0.52</c:v>
                </c:pt>
                <c:pt idx="2">
                  <c:v>0.68</c:v>
                </c:pt>
                <c:pt idx="3">
                  <c:v>0.68</c:v>
                </c:pt>
                <c:pt idx="4">
                  <c:v>0.52</c:v>
                </c:pt>
              </c:numCache>
            </c:numRef>
          </c:xVal>
          <c:yVal>
            <c:numRef>
              <c:f>'Calculation (4)'!$U$65:$U$69</c:f>
              <c:numCache>
                <c:formatCode>0%</c:formatCode>
                <c:ptCount val="5"/>
                <c:pt idx="0">
                  <c:v>0.34</c:v>
                </c:pt>
                <c:pt idx="1">
                  <c:v>0.38</c:v>
                </c:pt>
                <c:pt idx="2">
                  <c:v>0.36</c:v>
                </c:pt>
                <c:pt idx="3">
                  <c:v>0.32</c:v>
                </c:pt>
                <c:pt idx="4">
                  <c:v>0.34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BA-495E-8070-4E80B83C642E}"/>
            </c:ext>
          </c:extLst>
        </c:ser>
        <c:ser>
          <c:idx val="1"/>
          <c:order val="1"/>
          <c:tx>
            <c:strRef>
              <c:f>'Calculation (4)'!$T$70</c:f>
              <c:strCache>
                <c:ptCount val="1"/>
                <c:pt idx="0">
                  <c:v>Combined Aggregate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xVal>
            <c:numRef>
              <c:f>'Calculation (4)'!$T$71</c:f>
              <c:numCache>
                <c:formatCode>0%</c:formatCode>
                <c:ptCount val="1"/>
                <c:pt idx="0">
                  <c:v>0</c:v>
                </c:pt>
              </c:numCache>
            </c:numRef>
          </c:xVal>
          <c:yVal>
            <c:numRef>
              <c:f>'Calculation (4)'!$U$71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BA-495E-8070-4E80B83C642E}"/>
            </c:ext>
          </c:extLst>
        </c:ser>
        <c:ser>
          <c:idx val="2"/>
          <c:order val="2"/>
          <c:tx>
            <c:strRef>
              <c:f>'Calculation (4)'!$T$72</c:f>
              <c:strCache>
                <c:ptCount val="1"/>
                <c:pt idx="0">
                  <c:v>Zone Lines</c:v>
                </c:pt>
              </c:strCache>
            </c:strRef>
          </c:tx>
          <c:spPr>
            <a:ln w="19050">
              <a:prstDash val="solid"/>
            </a:ln>
          </c:spPr>
          <c:marker>
            <c:symbol val="none"/>
          </c:marker>
          <c:xVal>
            <c:numRef>
              <c:f>'Calculation (4)'!$T$73:$T$84</c:f>
              <c:numCache>
                <c:formatCode>0%</c:formatCode>
                <c:ptCount val="12"/>
                <c:pt idx="0">
                  <c:v>0.8</c:v>
                </c:pt>
                <c:pt idx="1">
                  <c:v>0.75</c:v>
                </c:pt>
                <c:pt idx="2">
                  <c:v>0.45</c:v>
                </c:pt>
                <c:pt idx="3">
                  <c:v>0.3</c:v>
                </c:pt>
                <c:pt idx="4">
                  <c:v>0.45</c:v>
                </c:pt>
                <c:pt idx="5">
                  <c:v>0.45</c:v>
                </c:pt>
                <c:pt idx="6">
                  <c:v>0.8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0.45</c:v>
                </c:pt>
                <c:pt idx="11">
                  <c:v>0.3</c:v>
                </c:pt>
              </c:numCache>
            </c:numRef>
          </c:xVal>
          <c:yVal>
            <c:numRef>
              <c:f>'Calculation (4)'!$U$73:$U$84</c:f>
              <c:numCache>
                <c:formatCode>0%</c:formatCode>
                <c:ptCount val="12"/>
                <c:pt idx="0">
                  <c:v>0.26</c:v>
                </c:pt>
                <c:pt idx="1">
                  <c:v>0.26900000000000002</c:v>
                </c:pt>
                <c:pt idx="2">
                  <c:v>0.32300000000000001</c:v>
                </c:pt>
                <c:pt idx="3">
                  <c:v>0.35</c:v>
                </c:pt>
                <c:pt idx="4">
                  <c:v>0.32300000000000001</c:v>
                </c:pt>
                <c:pt idx="5">
                  <c:v>0.443</c:v>
                </c:pt>
                <c:pt idx="6">
                  <c:v>0.38</c:v>
                </c:pt>
                <c:pt idx="7">
                  <c:v>0.38900000000000001</c:v>
                </c:pt>
                <c:pt idx="8">
                  <c:v>0.26900000000000002</c:v>
                </c:pt>
                <c:pt idx="9">
                  <c:v>0.38900000000000001</c:v>
                </c:pt>
                <c:pt idx="10">
                  <c:v>0.443</c:v>
                </c:pt>
                <c:pt idx="11">
                  <c:v>0.47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EBA-495E-8070-4E80B83C642E}"/>
            </c:ext>
          </c:extLst>
        </c:ser>
        <c:ser>
          <c:idx val="3"/>
          <c:order val="3"/>
          <c:tx>
            <c:strRef>
              <c:f>'Calculation (4)'!$T$85</c:f>
              <c:strCache>
                <c:ptCount val="1"/>
                <c:pt idx="0">
                  <c:v>SubZones II-a,b,c</c:v>
                </c:pt>
              </c:strCache>
            </c:strRef>
          </c:tx>
          <c:spPr>
            <a:ln w="15875">
              <a:solidFill>
                <a:srgbClr val="98B954"/>
              </a:solidFill>
              <a:prstDash val="sysDash"/>
            </a:ln>
          </c:spPr>
          <c:marker>
            <c:symbol val="none"/>
          </c:marker>
          <c:xVal>
            <c:numRef>
              <c:f>'Calculation (4)'!$T$86:$T$89</c:f>
              <c:numCache>
                <c:formatCode>0%</c:formatCode>
                <c:ptCount val="4"/>
                <c:pt idx="0">
                  <c:v>0.75</c:v>
                </c:pt>
                <c:pt idx="1">
                  <c:v>0.45</c:v>
                </c:pt>
                <c:pt idx="2">
                  <c:v>0.45</c:v>
                </c:pt>
                <c:pt idx="3">
                  <c:v>0.75</c:v>
                </c:pt>
              </c:numCache>
            </c:numRef>
          </c:xVal>
          <c:yVal>
            <c:numRef>
              <c:f>'Calculation (4)'!$U$86:$U$89</c:f>
              <c:numCache>
                <c:formatCode>General</c:formatCode>
                <c:ptCount val="4"/>
                <c:pt idx="0">
                  <c:v>0.30499999999999999</c:v>
                </c:pt>
                <c:pt idx="1">
                  <c:v>0.35899999999999999</c:v>
                </c:pt>
                <c:pt idx="2">
                  <c:v>0.39500000000000002</c:v>
                </c:pt>
                <c:pt idx="3">
                  <c:v>0.34100000000000003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EBA-495E-8070-4E80B83C6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60096"/>
        <c:axId val="50662016"/>
      </c:scatterChart>
      <c:valAx>
        <c:axId val="50660096"/>
        <c:scaling>
          <c:orientation val="maxMin"/>
          <c:max val="0.8"/>
          <c:min val="0.30000000000000032"/>
        </c:scaling>
        <c:delete val="0"/>
        <c:axPos val="b"/>
        <c:majorGridlines>
          <c:spPr>
            <a:ln w="9525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Coarseness Factor, CF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50662016"/>
        <c:crosses val="autoZero"/>
        <c:crossBetween val="midCat"/>
      </c:valAx>
      <c:valAx>
        <c:axId val="50662016"/>
        <c:scaling>
          <c:orientation val="minMax"/>
          <c:max val="0.45"/>
          <c:min val="0.2"/>
        </c:scaling>
        <c:delete val="0"/>
        <c:axPos val="l"/>
        <c:majorGridlines>
          <c:spPr>
            <a:ln w="9525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Workability Factor, WF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50660096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72906831732738664"/>
          <c:y val="0.40874303615273638"/>
          <c:w val="0.2709317124833065"/>
          <c:h val="0.2739835361488904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Retained Chart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0563926877561439"/>
          <c:y val="8.9303109838542907E-2"/>
          <c:w val="0.65989280287333096"/>
          <c:h val="0.67576393859859385"/>
        </c:manualLayout>
      </c:layout>
      <c:lineChart>
        <c:grouping val="standard"/>
        <c:varyColors val="0"/>
        <c:ser>
          <c:idx val="2"/>
          <c:order val="0"/>
          <c:tx>
            <c:strRef>
              <c:f>'Calculation (4)'!$Z$64</c:f>
              <c:strCache>
                <c:ptCount val="1"/>
                <c:pt idx="0">
                  <c:v>High</c:v>
                </c:pt>
              </c:strCache>
            </c:strRef>
          </c:tx>
          <c:spPr>
            <a:ln w="22225">
              <a:prstDash val="dash"/>
            </a:ln>
          </c:spPr>
          <c:marker>
            <c:symbol val="none"/>
          </c:marker>
          <c:cat>
            <c:strRef>
              <c:f>'Calculation (4)'!$W$65:$W$77</c:f>
              <c:strCache>
                <c:ptCount val="13"/>
                <c:pt idx="0">
                  <c:v>2 in.</c:v>
                </c:pt>
                <c:pt idx="1">
                  <c:v>1 1/2 in.</c:v>
                </c:pt>
                <c:pt idx="2">
                  <c:v>1 in.</c:v>
                </c:pt>
                <c:pt idx="3">
                  <c:v>3/4 in.</c:v>
                </c:pt>
                <c:pt idx="4">
                  <c:v>1/2 in.</c:v>
                </c:pt>
                <c:pt idx="5">
                  <c:v>3/8 in.</c:v>
                </c:pt>
                <c:pt idx="6">
                  <c:v>No. 4</c:v>
                </c:pt>
                <c:pt idx="7">
                  <c:v>No. 8</c:v>
                </c:pt>
                <c:pt idx="8">
                  <c:v>No. 16</c:v>
                </c:pt>
                <c:pt idx="9">
                  <c:v>No. 30</c:v>
                </c:pt>
                <c:pt idx="10">
                  <c:v>No. 50</c:v>
                </c:pt>
                <c:pt idx="11">
                  <c:v>No. 100</c:v>
                </c:pt>
                <c:pt idx="12">
                  <c:v>No. 200</c:v>
                </c:pt>
              </c:strCache>
            </c:strRef>
          </c:cat>
          <c:val>
            <c:numRef>
              <c:f>'Calculation (4)'!$Z$65:$Z$77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0.15</c:v>
                </c:pt>
                <c:pt idx="10">
                  <c:v>0.15</c:v>
                </c:pt>
                <c:pt idx="11">
                  <c:v>7.4999999999999997E-2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8-4E83-8D85-746591F09B63}"/>
            </c:ext>
          </c:extLst>
        </c:ser>
        <c:ser>
          <c:idx val="0"/>
          <c:order val="1"/>
          <c:tx>
            <c:strRef>
              <c:f>'Calculation (4)'!$X$64</c:f>
              <c:strCache>
                <c:ptCount val="1"/>
                <c:pt idx="0">
                  <c:v>% Retained</c:v>
                </c:pt>
              </c:strCache>
            </c:strRef>
          </c:tx>
          <c:cat>
            <c:strRef>
              <c:f>'Calculation (4)'!$W$65:$W$77</c:f>
              <c:strCache>
                <c:ptCount val="13"/>
                <c:pt idx="0">
                  <c:v>2 in.</c:v>
                </c:pt>
                <c:pt idx="1">
                  <c:v>1 1/2 in.</c:v>
                </c:pt>
                <c:pt idx="2">
                  <c:v>1 in.</c:v>
                </c:pt>
                <c:pt idx="3">
                  <c:v>3/4 in.</c:v>
                </c:pt>
                <c:pt idx="4">
                  <c:v>1/2 in.</c:v>
                </c:pt>
                <c:pt idx="5">
                  <c:v>3/8 in.</c:v>
                </c:pt>
                <c:pt idx="6">
                  <c:v>No. 4</c:v>
                </c:pt>
                <c:pt idx="7">
                  <c:v>No. 8</c:v>
                </c:pt>
                <c:pt idx="8">
                  <c:v>No. 16</c:v>
                </c:pt>
                <c:pt idx="9">
                  <c:v>No. 30</c:v>
                </c:pt>
                <c:pt idx="10">
                  <c:v>No. 50</c:v>
                </c:pt>
                <c:pt idx="11">
                  <c:v>No. 100</c:v>
                </c:pt>
                <c:pt idx="12">
                  <c:v>No. 200</c:v>
                </c:pt>
              </c:strCache>
            </c:strRef>
          </c:cat>
          <c:val>
            <c:numRef>
              <c:f>'Calculation (4)'!$X$65:$X$77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8-4E83-8D85-746591F09B63}"/>
            </c:ext>
          </c:extLst>
        </c:ser>
        <c:ser>
          <c:idx val="1"/>
          <c:order val="2"/>
          <c:tx>
            <c:strRef>
              <c:f>'Calculation (4)'!$Y$64</c:f>
              <c:strCache>
                <c:ptCount val="1"/>
                <c:pt idx="0">
                  <c:v>Low</c:v>
                </c:pt>
              </c:strCache>
            </c:strRef>
          </c:tx>
          <c:spPr>
            <a:ln w="22225">
              <a:prstDash val="dashDot"/>
            </a:ln>
          </c:spPr>
          <c:marker>
            <c:symbol val="none"/>
          </c:marker>
          <c:cat>
            <c:strRef>
              <c:f>'Calculation (4)'!$W$65:$W$77</c:f>
              <c:strCache>
                <c:ptCount val="13"/>
                <c:pt idx="0">
                  <c:v>2 in.</c:v>
                </c:pt>
                <c:pt idx="1">
                  <c:v>1 1/2 in.</c:v>
                </c:pt>
                <c:pt idx="2">
                  <c:v>1 in.</c:v>
                </c:pt>
                <c:pt idx="3">
                  <c:v>3/4 in.</c:v>
                </c:pt>
                <c:pt idx="4">
                  <c:v>1/2 in.</c:v>
                </c:pt>
                <c:pt idx="5">
                  <c:v>3/8 in.</c:v>
                </c:pt>
                <c:pt idx="6">
                  <c:v>No. 4</c:v>
                </c:pt>
                <c:pt idx="7">
                  <c:v>No. 8</c:v>
                </c:pt>
                <c:pt idx="8">
                  <c:v>No. 16</c:v>
                </c:pt>
                <c:pt idx="9">
                  <c:v>No. 30</c:v>
                </c:pt>
                <c:pt idx="10">
                  <c:v>No. 50</c:v>
                </c:pt>
                <c:pt idx="11">
                  <c:v>No. 100</c:v>
                </c:pt>
                <c:pt idx="12">
                  <c:v>No. 200</c:v>
                </c:pt>
              </c:strCache>
            </c:strRef>
          </c:cat>
          <c:val>
            <c:numRef>
              <c:f>'Calculation (4)'!$Y$65:$Y$77</c:f>
              <c:numCache>
                <c:formatCode>0.0%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88-4E83-8D85-746591F09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79808"/>
        <c:axId val="50681728"/>
      </c:lineChart>
      <c:catAx>
        <c:axId val="5067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Sieve Size</a:t>
                </a:r>
              </a:p>
            </c:rich>
          </c:tx>
          <c:layout>
            <c:manualLayout>
              <c:xMode val="edge"/>
              <c:yMode val="edge"/>
              <c:x val="0.38128157664502482"/>
              <c:y val="0.926444285373419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0681728"/>
        <c:crosses val="autoZero"/>
        <c:auto val="1"/>
        <c:lblAlgn val="ctr"/>
        <c:lblOffset val="100"/>
        <c:tickLblSkip val="1"/>
        <c:noMultiLvlLbl val="0"/>
      </c:catAx>
      <c:valAx>
        <c:axId val="50681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Retained on Sieve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0679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CheckBox" lockText="1" noThreeD="1"/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37</xdr:row>
          <xdr:rowOff>95250</xdr:rowOff>
        </xdr:from>
        <xdr:to>
          <xdr:col>0</xdr:col>
          <xdr:colOff>876300</xdr:colOff>
          <xdr:row>39</xdr:row>
          <xdr:rowOff>47625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0.38421</cdr:x>
      <cdr:y>0.68852</cdr:y>
    </cdr:from>
    <cdr:to>
      <cdr:x>0.75088</cdr:x>
      <cdr:y>0.76066</cdr:y>
    </cdr:to>
    <cdr:sp macro="" textlink="'Calculation (4)'!$Z$40">
      <cdr:nvSpPr>
        <cdr:cNvPr id="2" name="TextBox 1"/>
        <cdr:cNvSpPr txBox="1"/>
      </cdr:nvSpPr>
      <cdr:spPr>
        <a:xfrm xmlns:a="http://schemas.openxmlformats.org/drawingml/2006/main">
          <a:off x="2085976" y="2000251"/>
          <a:ext cx="1990726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D55C8E18-8788-4A7F-8131-6EBF7D4F8291}" type="TxLink">
            <a:rPr lang="en-US" sz="1000"/>
            <a:pPr algn="ctr"/>
            <a:t> </a:t>
          </a:fld>
          <a:endParaRPr lang="en-US" sz="10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571500</xdr:colOff>
      <xdr:row>20</xdr:row>
      <xdr:rowOff>171450</xdr:rowOff>
    </xdr:from>
    <xdr:to>
      <xdr:col>36</xdr:col>
      <xdr:colOff>514350</xdr:colOff>
      <xdr:row>35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28576</xdr:colOff>
      <xdr:row>4</xdr:row>
      <xdr:rowOff>38100</xdr:rowOff>
    </xdr:from>
    <xdr:to>
      <xdr:col>26</xdr:col>
      <xdr:colOff>581026</xdr:colOff>
      <xdr:row>20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28575</xdr:colOff>
      <xdr:row>35</xdr:row>
      <xdr:rowOff>9525</xdr:rowOff>
    </xdr:from>
    <xdr:to>
      <xdr:col>26</xdr:col>
      <xdr:colOff>581025</xdr:colOff>
      <xdr:row>51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28575</xdr:colOff>
      <xdr:row>20</xdr:row>
      <xdr:rowOff>152400</xdr:rowOff>
    </xdr:from>
    <xdr:to>
      <xdr:col>26</xdr:col>
      <xdr:colOff>581025</xdr:colOff>
      <xdr:row>35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28576</xdr:colOff>
      <xdr:row>4</xdr:row>
      <xdr:rowOff>38100</xdr:rowOff>
    </xdr:from>
    <xdr:to>
      <xdr:col>26</xdr:col>
      <xdr:colOff>581026</xdr:colOff>
      <xdr:row>20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28575</xdr:colOff>
      <xdr:row>35</xdr:row>
      <xdr:rowOff>9525</xdr:rowOff>
    </xdr:from>
    <xdr:to>
      <xdr:col>26</xdr:col>
      <xdr:colOff>581025</xdr:colOff>
      <xdr:row>51</xdr:row>
      <xdr:rowOff>104775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28575</xdr:colOff>
      <xdr:row>20</xdr:row>
      <xdr:rowOff>152400</xdr:rowOff>
    </xdr:from>
    <xdr:to>
      <xdr:col>26</xdr:col>
      <xdr:colOff>581025</xdr:colOff>
      <xdr:row>35</xdr:row>
      <xdr:rowOff>9525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304800</xdr:colOff>
      <xdr:row>33</xdr:row>
      <xdr:rowOff>180975</xdr:rowOff>
    </xdr:from>
    <xdr:to>
      <xdr:col>8</xdr:col>
      <xdr:colOff>457200</xdr:colOff>
      <xdr:row>50</xdr:row>
      <xdr:rowOff>180975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2743200" y="6467475"/>
          <a:ext cx="2590800" cy="3238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/>
            <a:t>Notes;</a:t>
          </a:r>
        </a:p>
        <a:p>
          <a:endParaRPr lang="en-US" sz="1000"/>
        </a:p>
        <a:p>
          <a:r>
            <a:rPr lang="en-US" sz="1000"/>
            <a:t>1  Combined Aggregate values used to compute the CF and WF are highlighted.</a:t>
          </a:r>
        </a:p>
        <a:p>
          <a:endParaRPr lang="en-US" sz="1000"/>
        </a:p>
        <a:p>
          <a:r>
            <a:rPr lang="en-US" sz="1000"/>
            <a:t>2  Results in these columns will be marked</a:t>
          </a:r>
          <a:r>
            <a:rPr lang="en-US" sz="1000" baseline="0"/>
            <a:t> when the conditions below occur.</a:t>
          </a:r>
          <a:endParaRPr lang="en-US" sz="1000"/>
        </a:p>
        <a:p>
          <a:pPr marL="91440" lvl="0">
            <a:spcBef>
              <a:spcPts val="600"/>
            </a:spcBef>
          </a:pPr>
          <a:r>
            <a:rPr lang="en-US" sz="1000"/>
            <a:t>*  Percent Retained Each Sieve.  Indicates more</a:t>
          </a:r>
          <a:r>
            <a:rPr lang="en-US" sz="1000" baseline="0"/>
            <a:t> than 10 percentage point change in percent retained on the sieve from the previous sieve.</a:t>
          </a:r>
          <a:endParaRPr lang="en-US" sz="1000"/>
        </a:p>
        <a:p>
          <a:pPr marL="91440">
            <a:spcBef>
              <a:spcPts val="600"/>
            </a:spcBef>
          </a:pP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**  0.45 Power Chart Deviation.  Indicates a deviation from the Power Chart maximum density line greater than 7 percentage points.</a:t>
          </a:r>
        </a:p>
        <a:p>
          <a:endParaRPr lang="en-US" sz="10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3  Power Chart is the theoretical max density straight line on the 0.45 Power Chart.  It starts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at the origin of the chart and ends at the Nominal Maximum Sieve Size.</a:t>
          </a:r>
          <a:endParaRPr lang="en-US" sz="1000"/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0.38421</cdr:x>
      <cdr:y>0.68852</cdr:y>
    </cdr:from>
    <cdr:to>
      <cdr:x>0.75088</cdr:x>
      <cdr:y>0.76066</cdr:y>
    </cdr:to>
    <cdr:sp macro="" textlink="'Calculation (3)'!$Z$40">
      <cdr:nvSpPr>
        <cdr:cNvPr id="2" name="TextBox 1"/>
        <cdr:cNvSpPr txBox="1"/>
      </cdr:nvSpPr>
      <cdr:spPr>
        <a:xfrm xmlns:a="http://schemas.openxmlformats.org/drawingml/2006/main">
          <a:off x="2085976" y="2000251"/>
          <a:ext cx="1990726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D55C8E18-8788-4A7F-8131-6EBF7D4F8291}" type="TxLink">
            <a:rPr lang="en-US" sz="1000"/>
            <a:pPr algn="ctr"/>
            <a:t> </a:t>
          </a:fld>
          <a:endParaRPr lang="en-US" sz="100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0.40417</cdr:x>
      <cdr:y>0.56597</cdr:y>
    </cdr:from>
    <cdr:to>
      <cdr:x>0.5937</cdr:x>
      <cdr:y>0.65625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98190" y="1897584"/>
          <a:ext cx="1030785" cy="302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V, Rocky</a:t>
          </a:r>
        </a:p>
      </cdr:txBody>
    </cdr:sp>
  </cdr:relSizeAnchor>
  <cdr:relSizeAnchor xmlns:cdr="http://schemas.openxmlformats.org/drawingml/2006/chartDrawing">
    <cdr:from>
      <cdr:x>0.15833</cdr:x>
      <cdr:y>0.13636</cdr:y>
    </cdr:from>
    <cdr:to>
      <cdr:x>0.35026</cdr:x>
      <cdr:y>0.22664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61121" y="457200"/>
          <a:ext cx="1043864" cy="302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IV, Sticky</a:t>
          </a:r>
        </a:p>
      </cdr:txBody>
    </cdr:sp>
  </cdr:relSizeAnchor>
  <cdr:relSizeAnchor xmlns:cdr="http://schemas.openxmlformats.org/drawingml/2006/chartDrawing">
    <cdr:from>
      <cdr:x>0.1018</cdr:x>
      <cdr:y>0.2983</cdr:y>
    </cdr:from>
    <cdr:to>
      <cdr:x>0.17709</cdr:x>
      <cdr:y>0.64205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53674" y="1000125"/>
          <a:ext cx="409486" cy="1152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/>
        <a:lstStyle xmlns:a="http://schemas.openxmlformats.org/drawingml/2006/main"/>
        <a:p xmlns:a="http://schemas.openxmlformats.org/drawingml/2006/main">
          <a:pPr algn="ctr"/>
          <a:r>
            <a:rPr lang="en-US" sz="900"/>
            <a:t>Zone I, Gap Graded</a:t>
          </a:r>
        </a:p>
      </cdr:txBody>
    </cdr:sp>
  </cdr:relSizeAnchor>
  <cdr:relSizeAnchor xmlns:cdr="http://schemas.openxmlformats.org/drawingml/2006/chartDrawing">
    <cdr:from>
      <cdr:x>0.53804</cdr:x>
      <cdr:y>0.21339</cdr:y>
    </cdr:from>
    <cdr:to>
      <cdr:x>0.78109</cdr:x>
      <cdr:y>0.33239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26276" y="715442"/>
          <a:ext cx="1321894" cy="398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III, Well</a:t>
          </a:r>
          <a:r>
            <a:rPr lang="en-US" sz="900" baseline="0"/>
            <a:t> Graded, 3/4" and finer</a:t>
          </a:r>
          <a:endParaRPr lang="en-US" sz="900"/>
        </a:p>
      </cdr:txBody>
    </cdr:sp>
  </cdr:relSizeAnchor>
  <cdr:relSizeAnchor xmlns:cdr="http://schemas.openxmlformats.org/drawingml/2006/chartDrawing">
    <cdr:from>
      <cdr:x>0.23292</cdr:x>
      <cdr:y>0.20486</cdr:y>
    </cdr:from>
    <cdr:to>
      <cdr:x>0.52539</cdr:x>
      <cdr:y>0.32387</cdr:y>
    </cdr:to>
    <cdr:sp macro="" textlink="">
      <cdr:nvSpPr>
        <cdr:cNvPr id="6" name="TextBox 5"/>
        <cdr:cNvSpPr txBox="1"/>
      </cdr:nvSpPr>
      <cdr:spPr>
        <a:xfrm xmlns:a="http://schemas.openxmlformats.org/drawingml/2006/main" rot="20713446">
          <a:off x="1266798" y="686839"/>
          <a:ext cx="1590678" cy="399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900"/>
            <a:t>Zone II, Well</a:t>
          </a:r>
          <a:r>
            <a:rPr lang="en-US" sz="900" baseline="0"/>
            <a:t> Graded, 1 1/2" to 3/4"</a:t>
          </a:r>
          <a:endParaRPr lang="en-US" sz="900"/>
        </a:p>
      </cdr:txBody>
    </cdr:sp>
  </cdr:relSizeAnchor>
  <cdr:relSizeAnchor xmlns:cdr="http://schemas.openxmlformats.org/drawingml/2006/chartDrawing">
    <cdr:from>
      <cdr:x>0.15339</cdr:x>
      <cdr:y>0.58135</cdr:y>
    </cdr:from>
    <cdr:to>
      <cdr:x>0.2364</cdr:x>
      <cdr:y>0.64894</cdr:y>
    </cdr:to>
    <cdr:sp macro="" textlink="">
      <cdr:nvSpPr>
        <cdr:cNvPr id="7" name="TextBox 6"/>
        <cdr:cNvSpPr txBox="1"/>
      </cdr:nvSpPr>
      <cdr:spPr>
        <a:xfrm xmlns:a="http://schemas.openxmlformats.org/drawingml/2006/main" rot="20713446">
          <a:off x="832778" y="1949145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II-a</a:t>
          </a:r>
        </a:p>
      </cdr:txBody>
    </cdr:sp>
  </cdr:relSizeAnchor>
  <cdr:relSizeAnchor xmlns:cdr="http://schemas.openxmlformats.org/drawingml/2006/chartDrawing">
    <cdr:from>
      <cdr:x>0.14988</cdr:x>
      <cdr:y>0.46487</cdr:y>
    </cdr:from>
    <cdr:to>
      <cdr:x>0.23289</cdr:x>
      <cdr:y>0.53246</cdr:y>
    </cdr:to>
    <cdr:sp macro="" textlink="">
      <cdr:nvSpPr>
        <cdr:cNvPr id="8" name="TextBox 7"/>
        <cdr:cNvSpPr txBox="1"/>
      </cdr:nvSpPr>
      <cdr:spPr>
        <a:xfrm xmlns:a="http://schemas.openxmlformats.org/drawingml/2006/main" rot="20713446">
          <a:off x="813729" y="1558620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II-b</a:t>
          </a:r>
        </a:p>
      </cdr:txBody>
    </cdr:sp>
  </cdr:relSizeAnchor>
  <cdr:relSizeAnchor xmlns:cdr="http://schemas.openxmlformats.org/drawingml/2006/chartDrawing">
    <cdr:from>
      <cdr:x>0.14637</cdr:x>
      <cdr:y>0.33987</cdr:y>
    </cdr:from>
    <cdr:to>
      <cdr:x>0.22938</cdr:x>
      <cdr:y>0.40746</cdr:y>
    </cdr:to>
    <cdr:sp macro="" textlink="">
      <cdr:nvSpPr>
        <cdr:cNvPr id="9" name="TextBox 8"/>
        <cdr:cNvSpPr txBox="1"/>
      </cdr:nvSpPr>
      <cdr:spPr>
        <a:xfrm xmlns:a="http://schemas.openxmlformats.org/drawingml/2006/main" rot="20713446">
          <a:off x="794679" y="1139520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II-c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0.38421</cdr:x>
      <cdr:y>0.68852</cdr:y>
    </cdr:from>
    <cdr:to>
      <cdr:x>0.75088</cdr:x>
      <cdr:y>0.76066</cdr:y>
    </cdr:to>
    <cdr:sp macro="" textlink="#REF!">
      <cdr:nvSpPr>
        <cdr:cNvPr id="2" name="TextBox 1"/>
        <cdr:cNvSpPr txBox="1"/>
      </cdr:nvSpPr>
      <cdr:spPr>
        <a:xfrm xmlns:a="http://schemas.openxmlformats.org/drawingml/2006/main">
          <a:off x="2085976" y="2000251"/>
          <a:ext cx="1990726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D55C8E18-8788-4A7F-8131-6EBF7D4F8291}" type="TxLink">
            <a:rPr lang="en-US" sz="1000"/>
            <a:pPr algn="ctr"/>
            <a:t> </a:t>
          </a:fld>
          <a:endParaRPr lang="en-US" sz="10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0.40417</cdr:x>
      <cdr:y>0.56597</cdr:y>
    </cdr:from>
    <cdr:to>
      <cdr:x>0.5937</cdr:x>
      <cdr:y>0.65625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98190" y="1897584"/>
          <a:ext cx="1030785" cy="302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V, Rocky</a:t>
          </a:r>
        </a:p>
      </cdr:txBody>
    </cdr:sp>
  </cdr:relSizeAnchor>
  <cdr:relSizeAnchor xmlns:cdr="http://schemas.openxmlformats.org/drawingml/2006/chartDrawing">
    <cdr:from>
      <cdr:x>0.15833</cdr:x>
      <cdr:y>0.13636</cdr:y>
    </cdr:from>
    <cdr:to>
      <cdr:x>0.35026</cdr:x>
      <cdr:y>0.22664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61121" y="457200"/>
          <a:ext cx="1043864" cy="302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IV, Sticky</a:t>
          </a:r>
        </a:p>
      </cdr:txBody>
    </cdr:sp>
  </cdr:relSizeAnchor>
  <cdr:relSizeAnchor xmlns:cdr="http://schemas.openxmlformats.org/drawingml/2006/chartDrawing">
    <cdr:from>
      <cdr:x>0.1018</cdr:x>
      <cdr:y>0.2983</cdr:y>
    </cdr:from>
    <cdr:to>
      <cdr:x>0.17709</cdr:x>
      <cdr:y>0.64205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53674" y="1000125"/>
          <a:ext cx="409486" cy="1152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/>
        <a:lstStyle xmlns:a="http://schemas.openxmlformats.org/drawingml/2006/main"/>
        <a:p xmlns:a="http://schemas.openxmlformats.org/drawingml/2006/main">
          <a:pPr algn="ctr"/>
          <a:r>
            <a:rPr lang="en-US" sz="900"/>
            <a:t>Zone I, Gap Graded</a:t>
          </a:r>
        </a:p>
      </cdr:txBody>
    </cdr:sp>
  </cdr:relSizeAnchor>
  <cdr:relSizeAnchor xmlns:cdr="http://schemas.openxmlformats.org/drawingml/2006/chartDrawing">
    <cdr:from>
      <cdr:x>0.53804</cdr:x>
      <cdr:y>0.21339</cdr:y>
    </cdr:from>
    <cdr:to>
      <cdr:x>0.78109</cdr:x>
      <cdr:y>0.33239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26276" y="715442"/>
          <a:ext cx="1321894" cy="398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III, Well</a:t>
          </a:r>
          <a:r>
            <a:rPr lang="en-US" sz="900" baseline="0"/>
            <a:t> Graded, 3/4" and finer</a:t>
          </a:r>
          <a:endParaRPr lang="en-US" sz="900"/>
        </a:p>
      </cdr:txBody>
    </cdr:sp>
  </cdr:relSizeAnchor>
  <cdr:relSizeAnchor xmlns:cdr="http://schemas.openxmlformats.org/drawingml/2006/chartDrawing">
    <cdr:from>
      <cdr:x>0.23292</cdr:x>
      <cdr:y>0.20486</cdr:y>
    </cdr:from>
    <cdr:to>
      <cdr:x>0.52539</cdr:x>
      <cdr:y>0.32387</cdr:y>
    </cdr:to>
    <cdr:sp macro="" textlink="">
      <cdr:nvSpPr>
        <cdr:cNvPr id="6" name="TextBox 5"/>
        <cdr:cNvSpPr txBox="1"/>
      </cdr:nvSpPr>
      <cdr:spPr>
        <a:xfrm xmlns:a="http://schemas.openxmlformats.org/drawingml/2006/main" rot="20713446">
          <a:off x="1266798" y="686839"/>
          <a:ext cx="1590678" cy="399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900"/>
            <a:t>Zone II, Well</a:t>
          </a:r>
          <a:r>
            <a:rPr lang="en-US" sz="900" baseline="0"/>
            <a:t> Graded, 1 1/2" to 3/4"</a:t>
          </a:r>
          <a:endParaRPr lang="en-US" sz="900"/>
        </a:p>
      </cdr:txBody>
    </cdr:sp>
  </cdr:relSizeAnchor>
  <cdr:relSizeAnchor xmlns:cdr="http://schemas.openxmlformats.org/drawingml/2006/chartDrawing">
    <cdr:from>
      <cdr:x>0.15339</cdr:x>
      <cdr:y>0.58135</cdr:y>
    </cdr:from>
    <cdr:to>
      <cdr:x>0.2364</cdr:x>
      <cdr:y>0.64894</cdr:y>
    </cdr:to>
    <cdr:sp macro="" textlink="">
      <cdr:nvSpPr>
        <cdr:cNvPr id="7" name="TextBox 6"/>
        <cdr:cNvSpPr txBox="1"/>
      </cdr:nvSpPr>
      <cdr:spPr>
        <a:xfrm xmlns:a="http://schemas.openxmlformats.org/drawingml/2006/main" rot="20713446">
          <a:off x="832778" y="1949145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II-a</a:t>
          </a:r>
        </a:p>
      </cdr:txBody>
    </cdr:sp>
  </cdr:relSizeAnchor>
  <cdr:relSizeAnchor xmlns:cdr="http://schemas.openxmlformats.org/drawingml/2006/chartDrawing">
    <cdr:from>
      <cdr:x>0.14988</cdr:x>
      <cdr:y>0.46487</cdr:y>
    </cdr:from>
    <cdr:to>
      <cdr:x>0.23289</cdr:x>
      <cdr:y>0.53246</cdr:y>
    </cdr:to>
    <cdr:sp macro="" textlink="">
      <cdr:nvSpPr>
        <cdr:cNvPr id="8" name="TextBox 7"/>
        <cdr:cNvSpPr txBox="1"/>
      </cdr:nvSpPr>
      <cdr:spPr>
        <a:xfrm xmlns:a="http://schemas.openxmlformats.org/drawingml/2006/main" rot="20713446">
          <a:off x="813729" y="1558620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II-b</a:t>
          </a:r>
        </a:p>
      </cdr:txBody>
    </cdr:sp>
  </cdr:relSizeAnchor>
  <cdr:relSizeAnchor xmlns:cdr="http://schemas.openxmlformats.org/drawingml/2006/chartDrawing">
    <cdr:from>
      <cdr:x>0.14637</cdr:x>
      <cdr:y>0.33987</cdr:y>
    </cdr:from>
    <cdr:to>
      <cdr:x>0.22938</cdr:x>
      <cdr:y>0.40746</cdr:y>
    </cdr:to>
    <cdr:sp macro="" textlink="">
      <cdr:nvSpPr>
        <cdr:cNvPr id="9" name="TextBox 8"/>
        <cdr:cNvSpPr txBox="1"/>
      </cdr:nvSpPr>
      <cdr:spPr>
        <a:xfrm xmlns:a="http://schemas.openxmlformats.org/drawingml/2006/main" rot="20713446">
          <a:off x="794679" y="1139520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II-c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0.38421</cdr:x>
      <cdr:y>0.68852</cdr:y>
    </cdr:from>
    <cdr:to>
      <cdr:x>0.75088</cdr:x>
      <cdr:y>0.76066</cdr:y>
    </cdr:to>
    <cdr:sp macro="" textlink="'Calculation (3)'!$Z$40">
      <cdr:nvSpPr>
        <cdr:cNvPr id="2" name="TextBox 1"/>
        <cdr:cNvSpPr txBox="1"/>
      </cdr:nvSpPr>
      <cdr:spPr>
        <a:xfrm xmlns:a="http://schemas.openxmlformats.org/drawingml/2006/main">
          <a:off x="2085976" y="2000251"/>
          <a:ext cx="1990726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D55C8E18-8788-4A7F-8131-6EBF7D4F8291}" type="TxLink">
            <a:rPr lang="en-US" sz="1000"/>
            <a:pPr algn="ctr"/>
            <a:t> </a:t>
          </a:fld>
          <a:endParaRPr lang="en-US" sz="10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571500</xdr:colOff>
      <xdr:row>20</xdr:row>
      <xdr:rowOff>171450</xdr:rowOff>
    </xdr:from>
    <xdr:to>
      <xdr:col>36</xdr:col>
      <xdr:colOff>514350</xdr:colOff>
      <xdr:row>35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28576</xdr:colOff>
      <xdr:row>4</xdr:row>
      <xdr:rowOff>38100</xdr:rowOff>
    </xdr:from>
    <xdr:to>
      <xdr:col>26</xdr:col>
      <xdr:colOff>581026</xdr:colOff>
      <xdr:row>20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28575</xdr:colOff>
      <xdr:row>35</xdr:row>
      <xdr:rowOff>9525</xdr:rowOff>
    </xdr:from>
    <xdr:to>
      <xdr:col>26</xdr:col>
      <xdr:colOff>581025</xdr:colOff>
      <xdr:row>51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28575</xdr:colOff>
      <xdr:row>20</xdr:row>
      <xdr:rowOff>152400</xdr:rowOff>
    </xdr:from>
    <xdr:to>
      <xdr:col>26</xdr:col>
      <xdr:colOff>581025</xdr:colOff>
      <xdr:row>35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28576</xdr:colOff>
      <xdr:row>4</xdr:row>
      <xdr:rowOff>38100</xdr:rowOff>
    </xdr:from>
    <xdr:to>
      <xdr:col>26</xdr:col>
      <xdr:colOff>581026</xdr:colOff>
      <xdr:row>20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28575</xdr:colOff>
      <xdr:row>35</xdr:row>
      <xdr:rowOff>9525</xdr:rowOff>
    </xdr:from>
    <xdr:to>
      <xdr:col>26</xdr:col>
      <xdr:colOff>581025</xdr:colOff>
      <xdr:row>51</xdr:row>
      <xdr:rowOff>104775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28575</xdr:colOff>
      <xdr:row>20</xdr:row>
      <xdr:rowOff>152400</xdr:rowOff>
    </xdr:from>
    <xdr:to>
      <xdr:col>26</xdr:col>
      <xdr:colOff>581025</xdr:colOff>
      <xdr:row>35</xdr:row>
      <xdr:rowOff>9525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304800</xdr:colOff>
      <xdr:row>33</xdr:row>
      <xdr:rowOff>180975</xdr:rowOff>
    </xdr:from>
    <xdr:to>
      <xdr:col>8</xdr:col>
      <xdr:colOff>457200</xdr:colOff>
      <xdr:row>50</xdr:row>
      <xdr:rowOff>180975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2743200" y="6467475"/>
          <a:ext cx="2590800" cy="3238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/>
            <a:t>Notes;</a:t>
          </a:r>
        </a:p>
        <a:p>
          <a:endParaRPr lang="en-US" sz="1000"/>
        </a:p>
        <a:p>
          <a:r>
            <a:rPr lang="en-US" sz="1000"/>
            <a:t>1  Combined Aggregate values used to compute the CF and WF are highlighted.</a:t>
          </a:r>
        </a:p>
        <a:p>
          <a:endParaRPr lang="en-US" sz="1000"/>
        </a:p>
        <a:p>
          <a:r>
            <a:rPr lang="en-US" sz="1000"/>
            <a:t>2  Results in these columns will be marked</a:t>
          </a:r>
          <a:r>
            <a:rPr lang="en-US" sz="1000" baseline="0"/>
            <a:t> when the conditions below occur.</a:t>
          </a:r>
          <a:endParaRPr lang="en-US" sz="1000"/>
        </a:p>
        <a:p>
          <a:pPr marL="91440" lvl="0">
            <a:spcBef>
              <a:spcPts val="600"/>
            </a:spcBef>
          </a:pPr>
          <a:r>
            <a:rPr lang="en-US" sz="1000"/>
            <a:t>*  Percent Retained Each Sieve.  Indicates more</a:t>
          </a:r>
          <a:r>
            <a:rPr lang="en-US" sz="1000" baseline="0"/>
            <a:t> than 10 percentage point change in percent retained on the sieve from the previous sieve.</a:t>
          </a:r>
          <a:endParaRPr lang="en-US" sz="1000"/>
        </a:p>
        <a:p>
          <a:pPr marL="91440">
            <a:spcBef>
              <a:spcPts val="600"/>
            </a:spcBef>
          </a:pP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**  0.45 Power Chart Deviation.  Indicates a deviation from the Power Chart maximum density line greater than 7 percentage points.</a:t>
          </a:r>
        </a:p>
        <a:p>
          <a:endParaRPr lang="en-US" sz="10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3  Power Chart is the theoretical max density straight line on the 0.45 Power Chart.  It starts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at the origin of the chart and ends at the Nominal Maximum Sieve Size.</a:t>
          </a:r>
          <a:endParaRPr lang="en-US" sz="1000"/>
        </a:p>
      </xdr:txBody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0.38421</cdr:x>
      <cdr:y>0.68852</cdr:y>
    </cdr:from>
    <cdr:to>
      <cdr:x>0.75088</cdr:x>
      <cdr:y>0.76066</cdr:y>
    </cdr:to>
    <cdr:sp macro="" textlink="'Calculation (2)'!$Z$40">
      <cdr:nvSpPr>
        <cdr:cNvPr id="2" name="TextBox 1"/>
        <cdr:cNvSpPr txBox="1"/>
      </cdr:nvSpPr>
      <cdr:spPr>
        <a:xfrm xmlns:a="http://schemas.openxmlformats.org/drawingml/2006/main">
          <a:off x="2085976" y="2000251"/>
          <a:ext cx="1990726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D55C8E18-8788-4A7F-8131-6EBF7D4F8291}" type="TxLink">
            <a:rPr lang="en-US" sz="1000"/>
            <a:pPr algn="ctr"/>
            <a:t> </a:t>
          </a:fld>
          <a:endParaRPr lang="en-US" sz="10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0.40417</cdr:x>
      <cdr:y>0.56597</cdr:y>
    </cdr:from>
    <cdr:to>
      <cdr:x>0.5937</cdr:x>
      <cdr:y>0.65625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98190" y="1897584"/>
          <a:ext cx="1030785" cy="302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V, Rocky</a:t>
          </a:r>
        </a:p>
      </cdr:txBody>
    </cdr:sp>
  </cdr:relSizeAnchor>
  <cdr:relSizeAnchor xmlns:cdr="http://schemas.openxmlformats.org/drawingml/2006/chartDrawing">
    <cdr:from>
      <cdr:x>0.15833</cdr:x>
      <cdr:y>0.13636</cdr:y>
    </cdr:from>
    <cdr:to>
      <cdr:x>0.35026</cdr:x>
      <cdr:y>0.22664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61121" y="457200"/>
          <a:ext cx="1043864" cy="302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IV, Sticky</a:t>
          </a:r>
        </a:p>
      </cdr:txBody>
    </cdr:sp>
  </cdr:relSizeAnchor>
  <cdr:relSizeAnchor xmlns:cdr="http://schemas.openxmlformats.org/drawingml/2006/chartDrawing">
    <cdr:from>
      <cdr:x>0.1018</cdr:x>
      <cdr:y>0.2983</cdr:y>
    </cdr:from>
    <cdr:to>
      <cdr:x>0.17709</cdr:x>
      <cdr:y>0.64205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53674" y="1000125"/>
          <a:ext cx="409486" cy="1152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/>
        <a:lstStyle xmlns:a="http://schemas.openxmlformats.org/drawingml/2006/main"/>
        <a:p xmlns:a="http://schemas.openxmlformats.org/drawingml/2006/main">
          <a:pPr algn="ctr"/>
          <a:r>
            <a:rPr lang="en-US" sz="900"/>
            <a:t>Zone I, Gap Graded</a:t>
          </a:r>
        </a:p>
      </cdr:txBody>
    </cdr:sp>
  </cdr:relSizeAnchor>
  <cdr:relSizeAnchor xmlns:cdr="http://schemas.openxmlformats.org/drawingml/2006/chartDrawing">
    <cdr:from>
      <cdr:x>0.53804</cdr:x>
      <cdr:y>0.21339</cdr:y>
    </cdr:from>
    <cdr:to>
      <cdr:x>0.78109</cdr:x>
      <cdr:y>0.33239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26276" y="715442"/>
          <a:ext cx="1321894" cy="398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III, Well</a:t>
          </a:r>
          <a:r>
            <a:rPr lang="en-US" sz="900" baseline="0"/>
            <a:t> Graded, 3/4" and finer</a:t>
          </a:r>
          <a:endParaRPr lang="en-US" sz="900"/>
        </a:p>
      </cdr:txBody>
    </cdr:sp>
  </cdr:relSizeAnchor>
  <cdr:relSizeAnchor xmlns:cdr="http://schemas.openxmlformats.org/drawingml/2006/chartDrawing">
    <cdr:from>
      <cdr:x>0.23292</cdr:x>
      <cdr:y>0.20486</cdr:y>
    </cdr:from>
    <cdr:to>
      <cdr:x>0.52539</cdr:x>
      <cdr:y>0.32387</cdr:y>
    </cdr:to>
    <cdr:sp macro="" textlink="">
      <cdr:nvSpPr>
        <cdr:cNvPr id="6" name="TextBox 5"/>
        <cdr:cNvSpPr txBox="1"/>
      </cdr:nvSpPr>
      <cdr:spPr>
        <a:xfrm xmlns:a="http://schemas.openxmlformats.org/drawingml/2006/main" rot="20713446">
          <a:off x="1266798" y="686839"/>
          <a:ext cx="1590678" cy="399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900"/>
            <a:t>Zone II, Well</a:t>
          </a:r>
          <a:r>
            <a:rPr lang="en-US" sz="900" baseline="0"/>
            <a:t> Graded, 1 1/2" to 3/4"</a:t>
          </a:r>
          <a:endParaRPr lang="en-US" sz="900"/>
        </a:p>
      </cdr:txBody>
    </cdr:sp>
  </cdr:relSizeAnchor>
  <cdr:relSizeAnchor xmlns:cdr="http://schemas.openxmlformats.org/drawingml/2006/chartDrawing">
    <cdr:from>
      <cdr:x>0.15339</cdr:x>
      <cdr:y>0.58135</cdr:y>
    </cdr:from>
    <cdr:to>
      <cdr:x>0.2364</cdr:x>
      <cdr:y>0.64894</cdr:y>
    </cdr:to>
    <cdr:sp macro="" textlink="">
      <cdr:nvSpPr>
        <cdr:cNvPr id="7" name="TextBox 6"/>
        <cdr:cNvSpPr txBox="1"/>
      </cdr:nvSpPr>
      <cdr:spPr>
        <a:xfrm xmlns:a="http://schemas.openxmlformats.org/drawingml/2006/main" rot="20713446">
          <a:off x="832778" y="1949145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II-a</a:t>
          </a:r>
        </a:p>
      </cdr:txBody>
    </cdr:sp>
  </cdr:relSizeAnchor>
  <cdr:relSizeAnchor xmlns:cdr="http://schemas.openxmlformats.org/drawingml/2006/chartDrawing">
    <cdr:from>
      <cdr:x>0.14988</cdr:x>
      <cdr:y>0.46487</cdr:y>
    </cdr:from>
    <cdr:to>
      <cdr:x>0.23289</cdr:x>
      <cdr:y>0.53246</cdr:y>
    </cdr:to>
    <cdr:sp macro="" textlink="">
      <cdr:nvSpPr>
        <cdr:cNvPr id="8" name="TextBox 7"/>
        <cdr:cNvSpPr txBox="1"/>
      </cdr:nvSpPr>
      <cdr:spPr>
        <a:xfrm xmlns:a="http://schemas.openxmlformats.org/drawingml/2006/main" rot="20713446">
          <a:off x="813729" y="1558620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II-b</a:t>
          </a:r>
        </a:p>
      </cdr:txBody>
    </cdr:sp>
  </cdr:relSizeAnchor>
  <cdr:relSizeAnchor xmlns:cdr="http://schemas.openxmlformats.org/drawingml/2006/chartDrawing">
    <cdr:from>
      <cdr:x>0.14637</cdr:x>
      <cdr:y>0.33987</cdr:y>
    </cdr:from>
    <cdr:to>
      <cdr:x>0.22938</cdr:x>
      <cdr:y>0.40746</cdr:y>
    </cdr:to>
    <cdr:sp macro="" textlink="">
      <cdr:nvSpPr>
        <cdr:cNvPr id="9" name="TextBox 8"/>
        <cdr:cNvSpPr txBox="1"/>
      </cdr:nvSpPr>
      <cdr:spPr>
        <a:xfrm xmlns:a="http://schemas.openxmlformats.org/drawingml/2006/main" rot="20713446">
          <a:off x="794679" y="1139520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II-c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4</xdr:row>
      <xdr:rowOff>47625</xdr:rowOff>
    </xdr:from>
    <xdr:to>
      <xdr:col>24</xdr:col>
      <xdr:colOff>0</xdr:colOff>
      <xdr:row>21</xdr:row>
      <xdr:rowOff>80010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9525</xdr:colOff>
      <xdr:row>37</xdr:row>
      <xdr:rowOff>0</xdr:rowOff>
    </xdr:from>
    <xdr:to>
      <xdr:col>24</xdr:col>
      <xdr:colOff>0</xdr:colOff>
      <xdr:row>53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9524</xdr:colOff>
      <xdr:row>21</xdr:row>
      <xdr:rowOff>76200</xdr:rowOff>
    </xdr:from>
    <xdr:to>
      <xdr:col>24</xdr:col>
      <xdr:colOff>0</xdr:colOff>
      <xdr:row>37</xdr:row>
      <xdr:rowOff>3810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152399</xdr:colOff>
      <xdr:row>34</xdr:row>
      <xdr:rowOff>173355</xdr:rowOff>
    </xdr:from>
    <xdr:to>
      <xdr:col>4</xdr:col>
      <xdr:colOff>457200</xdr:colOff>
      <xdr:row>52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777239" y="6444615"/>
          <a:ext cx="2705101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/>
            <a:t>Notes;</a:t>
          </a:r>
        </a:p>
        <a:p>
          <a:endParaRPr lang="en-US" sz="1000"/>
        </a:p>
        <a:p>
          <a:r>
            <a:rPr lang="en-US" sz="1000"/>
            <a:t>1  Combined Aggregate values used to compute the CF and WF are highlighted.</a:t>
          </a:r>
        </a:p>
        <a:p>
          <a:endParaRPr lang="en-US" sz="1000"/>
        </a:p>
        <a:p>
          <a:r>
            <a:rPr lang="en-US" sz="1000"/>
            <a:t>2  Results in these columns will be marked</a:t>
          </a:r>
          <a:r>
            <a:rPr lang="en-US" sz="1000" baseline="0"/>
            <a:t> when the conditions below occur.</a:t>
          </a:r>
          <a:endParaRPr lang="en-US" sz="1000"/>
        </a:p>
        <a:p>
          <a:pPr marL="91440" lvl="0">
            <a:spcBef>
              <a:spcPts val="600"/>
            </a:spcBef>
          </a:pPr>
          <a:r>
            <a:rPr lang="en-US" sz="1000"/>
            <a:t>*  Percent Retained Each Sieve.  Indicates more</a:t>
          </a:r>
          <a:r>
            <a:rPr lang="en-US" sz="1000" baseline="0"/>
            <a:t> than 10 percentage point change in percent retained on the sieve from the previous sieve.</a:t>
          </a:r>
          <a:endParaRPr lang="en-US" sz="1000"/>
        </a:p>
        <a:p>
          <a:pPr marL="91440">
            <a:spcBef>
              <a:spcPts val="600"/>
            </a:spcBef>
          </a:pP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**  0.45 Power Chart Deviation.  Indicates a deviation from the Power Chart maximum density line greater than 7 percentage points.</a:t>
          </a:r>
        </a:p>
        <a:p>
          <a:endParaRPr lang="en-US" sz="10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3  Power Chart is the theoretical max density straight line on the 0.45 Power Chart.  It starts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at the origin of the chart and ends at the Nominal Maximum Sieve Size.</a:t>
          </a:r>
          <a:endParaRPr lang="en-US" sz="1000"/>
        </a:p>
      </xdr:txBody>
    </xdr: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0.38421</cdr:x>
      <cdr:y>0.68852</cdr:y>
    </cdr:from>
    <cdr:to>
      <cdr:x>0.75088</cdr:x>
      <cdr:y>0.76066</cdr:y>
    </cdr:to>
    <cdr:sp macro="" textlink="#REF!">
      <cdr:nvSpPr>
        <cdr:cNvPr id="2" name="TextBox 1"/>
        <cdr:cNvSpPr txBox="1"/>
      </cdr:nvSpPr>
      <cdr:spPr>
        <a:xfrm xmlns:a="http://schemas.openxmlformats.org/drawingml/2006/main">
          <a:off x="2085976" y="2000251"/>
          <a:ext cx="1990726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D55C8E18-8788-4A7F-8131-6EBF7D4F8291}" type="TxLink">
            <a:rPr lang="en-US" sz="1000"/>
            <a:pPr algn="ctr"/>
            <a:t> </a:t>
          </a:fld>
          <a:endParaRPr lang="en-US" sz="10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0.40417</cdr:x>
      <cdr:y>0.56597</cdr:y>
    </cdr:from>
    <cdr:to>
      <cdr:x>0.5937</cdr:x>
      <cdr:y>0.65625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98190" y="1897584"/>
          <a:ext cx="1030785" cy="302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V, Rocky</a:t>
          </a:r>
        </a:p>
      </cdr:txBody>
    </cdr:sp>
  </cdr:relSizeAnchor>
  <cdr:relSizeAnchor xmlns:cdr="http://schemas.openxmlformats.org/drawingml/2006/chartDrawing">
    <cdr:from>
      <cdr:x>0.15833</cdr:x>
      <cdr:y>0.13636</cdr:y>
    </cdr:from>
    <cdr:to>
      <cdr:x>0.35026</cdr:x>
      <cdr:y>0.22664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61121" y="457200"/>
          <a:ext cx="1043864" cy="302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IV, Sticky</a:t>
          </a:r>
        </a:p>
      </cdr:txBody>
    </cdr:sp>
  </cdr:relSizeAnchor>
  <cdr:relSizeAnchor xmlns:cdr="http://schemas.openxmlformats.org/drawingml/2006/chartDrawing">
    <cdr:from>
      <cdr:x>0.1018</cdr:x>
      <cdr:y>0.2983</cdr:y>
    </cdr:from>
    <cdr:to>
      <cdr:x>0.17709</cdr:x>
      <cdr:y>0.64205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53674" y="1000125"/>
          <a:ext cx="409486" cy="1152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/>
        <a:lstStyle xmlns:a="http://schemas.openxmlformats.org/drawingml/2006/main"/>
        <a:p xmlns:a="http://schemas.openxmlformats.org/drawingml/2006/main">
          <a:pPr algn="ctr"/>
          <a:r>
            <a:rPr lang="en-US" sz="900"/>
            <a:t>Zone I, Gap Graded</a:t>
          </a:r>
        </a:p>
      </cdr:txBody>
    </cdr:sp>
  </cdr:relSizeAnchor>
  <cdr:relSizeAnchor xmlns:cdr="http://schemas.openxmlformats.org/drawingml/2006/chartDrawing">
    <cdr:from>
      <cdr:x>0.53804</cdr:x>
      <cdr:y>0.21339</cdr:y>
    </cdr:from>
    <cdr:to>
      <cdr:x>0.78109</cdr:x>
      <cdr:y>0.33239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26276" y="715442"/>
          <a:ext cx="1321894" cy="398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III, Well</a:t>
          </a:r>
          <a:r>
            <a:rPr lang="en-US" sz="900" baseline="0"/>
            <a:t> Graded, 3/4" and finer</a:t>
          </a:r>
          <a:endParaRPr lang="en-US" sz="900"/>
        </a:p>
      </cdr:txBody>
    </cdr:sp>
  </cdr:relSizeAnchor>
  <cdr:relSizeAnchor xmlns:cdr="http://schemas.openxmlformats.org/drawingml/2006/chartDrawing">
    <cdr:from>
      <cdr:x>0.23292</cdr:x>
      <cdr:y>0.20486</cdr:y>
    </cdr:from>
    <cdr:to>
      <cdr:x>0.52539</cdr:x>
      <cdr:y>0.32387</cdr:y>
    </cdr:to>
    <cdr:sp macro="" textlink="">
      <cdr:nvSpPr>
        <cdr:cNvPr id="6" name="TextBox 5"/>
        <cdr:cNvSpPr txBox="1"/>
      </cdr:nvSpPr>
      <cdr:spPr>
        <a:xfrm xmlns:a="http://schemas.openxmlformats.org/drawingml/2006/main" rot="20713446">
          <a:off x="1266798" y="686839"/>
          <a:ext cx="1590678" cy="399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900"/>
            <a:t>Zone II, Well</a:t>
          </a:r>
          <a:r>
            <a:rPr lang="en-US" sz="900" baseline="0"/>
            <a:t> Graded, 1 1/2" to 3/4"</a:t>
          </a:r>
          <a:endParaRPr lang="en-US" sz="900"/>
        </a:p>
      </cdr:txBody>
    </cdr:sp>
  </cdr:relSizeAnchor>
  <cdr:relSizeAnchor xmlns:cdr="http://schemas.openxmlformats.org/drawingml/2006/chartDrawing">
    <cdr:from>
      <cdr:x>0.15339</cdr:x>
      <cdr:y>0.58135</cdr:y>
    </cdr:from>
    <cdr:to>
      <cdr:x>0.2364</cdr:x>
      <cdr:y>0.64894</cdr:y>
    </cdr:to>
    <cdr:sp macro="" textlink="">
      <cdr:nvSpPr>
        <cdr:cNvPr id="7" name="TextBox 6"/>
        <cdr:cNvSpPr txBox="1"/>
      </cdr:nvSpPr>
      <cdr:spPr>
        <a:xfrm xmlns:a="http://schemas.openxmlformats.org/drawingml/2006/main" rot="20713446">
          <a:off x="832778" y="1949145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II-a</a:t>
          </a:r>
        </a:p>
      </cdr:txBody>
    </cdr:sp>
  </cdr:relSizeAnchor>
  <cdr:relSizeAnchor xmlns:cdr="http://schemas.openxmlformats.org/drawingml/2006/chartDrawing">
    <cdr:from>
      <cdr:x>0.14988</cdr:x>
      <cdr:y>0.46487</cdr:y>
    </cdr:from>
    <cdr:to>
      <cdr:x>0.23289</cdr:x>
      <cdr:y>0.53246</cdr:y>
    </cdr:to>
    <cdr:sp macro="" textlink="">
      <cdr:nvSpPr>
        <cdr:cNvPr id="8" name="TextBox 7"/>
        <cdr:cNvSpPr txBox="1"/>
      </cdr:nvSpPr>
      <cdr:spPr>
        <a:xfrm xmlns:a="http://schemas.openxmlformats.org/drawingml/2006/main" rot="20713446">
          <a:off x="813729" y="1558620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II-b</a:t>
          </a:r>
        </a:p>
      </cdr:txBody>
    </cdr:sp>
  </cdr:relSizeAnchor>
  <cdr:relSizeAnchor xmlns:cdr="http://schemas.openxmlformats.org/drawingml/2006/chartDrawing">
    <cdr:from>
      <cdr:x>0.14637</cdr:x>
      <cdr:y>0.33987</cdr:y>
    </cdr:from>
    <cdr:to>
      <cdr:x>0.22938</cdr:x>
      <cdr:y>0.40746</cdr:y>
    </cdr:to>
    <cdr:sp macro="" textlink="">
      <cdr:nvSpPr>
        <cdr:cNvPr id="9" name="TextBox 8"/>
        <cdr:cNvSpPr txBox="1"/>
      </cdr:nvSpPr>
      <cdr:spPr>
        <a:xfrm xmlns:a="http://schemas.openxmlformats.org/drawingml/2006/main" rot="20713446">
          <a:off x="794679" y="1139520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II-c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0.38421</cdr:x>
      <cdr:y>0.68852</cdr:y>
    </cdr:from>
    <cdr:to>
      <cdr:x>0.75088</cdr:x>
      <cdr:y>0.76066</cdr:y>
    </cdr:to>
    <cdr:sp macro="" textlink="'Calculation (2)'!$Z$40">
      <cdr:nvSpPr>
        <cdr:cNvPr id="2" name="TextBox 1"/>
        <cdr:cNvSpPr txBox="1"/>
      </cdr:nvSpPr>
      <cdr:spPr>
        <a:xfrm xmlns:a="http://schemas.openxmlformats.org/drawingml/2006/main">
          <a:off x="2085976" y="2000251"/>
          <a:ext cx="1990726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D55C8E18-8788-4A7F-8131-6EBF7D4F8291}" type="TxLink">
            <a:rPr lang="en-US" sz="1000"/>
            <a:pPr algn="ctr"/>
            <a:t> </a:t>
          </a:fld>
          <a:endParaRPr lang="en-US" sz="10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571500</xdr:colOff>
      <xdr:row>20</xdr:row>
      <xdr:rowOff>171450</xdr:rowOff>
    </xdr:from>
    <xdr:to>
      <xdr:col>36</xdr:col>
      <xdr:colOff>514350</xdr:colOff>
      <xdr:row>35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28576</xdr:colOff>
      <xdr:row>4</xdr:row>
      <xdr:rowOff>38100</xdr:rowOff>
    </xdr:from>
    <xdr:to>
      <xdr:col>26</xdr:col>
      <xdr:colOff>581026</xdr:colOff>
      <xdr:row>20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28575</xdr:colOff>
      <xdr:row>35</xdr:row>
      <xdr:rowOff>9525</xdr:rowOff>
    </xdr:from>
    <xdr:to>
      <xdr:col>26</xdr:col>
      <xdr:colOff>581025</xdr:colOff>
      <xdr:row>51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28575</xdr:colOff>
      <xdr:row>20</xdr:row>
      <xdr:rowOff>152400</xdr:rowOff>
    </xdr:from>
    <xdr:to>
      <xdr:col>26</xdr:col>
      <xdr:colOff>581025</xdr:colOff>
      <xdr:row>35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28576</xdr:colOff>
      <xdr:row>4</xdr:row>
      <xdr:rowOff>38100</xdr:rowOff>
    </xdr:from>
    <xdr:to>
      <xdr:col>26</xdr:col>
      <xdr:colOff>581026</xdr:colOff>
      <xdr:row>20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28575</xdr:colOff>
      <xdr:row>35</xdr:row>
      <xdr:rowOff>9525</xdr:rowOff>
    </xdr:from>
    <xdr:to>
      <xdr:col>26</xdr:col>
      <xdr:colOff>581025</xdr:colOff>
      <xdr:row>51</xdr:row>
      <xdr:rowOff>104775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28575</xdr:colOff>
      <xdr:row>20</xdr:row>
      <xdr:rowOff>152400</xdr:rowOff>
    </xdr:from>
    <xdr:to>
      <xdr:col>26</xdr:col>
      <xdr:colOff>581025</xdr:colOff>
      <xdr:row>35</xdr:row>
      <xdr:rowOff>9525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304800</xdr:colOff>
      <xdr:row>33</xdr:row>
      <xdr:rowOff>180975</xdr:rowOff>
    </xdr:from>
    <xdr:to>
      <xdr:col>8</xdr:col>
      <xdr:colOff>457200</xdr:colOff>
      <xdr:row>50</xdr:row>
      <xdr:rowOff>180975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2743200" y="6467475"/>
          <a:ext cx="2590800" cy="3238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/>
            <a:t>Notes;</a:t>
          </a:r>
        </a:p>
        <a:p>
          <a:endParaRPr lang="en-US" sz="1000"/>
        </a:p>
        <a:p>
          <a:r>
            <a:rPr lang="en-US" sz="1000"/>
            <a:t>1  Combined Aggregate values used to compute the CF and WF are highlighted.</a:t>
          </a:r>
        </a:p>
        <a:p>
          <a:endParaRPr lang="en-US" sz="1000"/>
        </a:p>
        <a:p>
          <a:r>
            <a:rPr lang="en-US" sz="1000"/>
            <a:t>2  Results in these columns will be marked</a:t>
          </a:r>
          <a:r>
            <a:rPr lang="en-US" sz="1000" baseline="0"/>
            <a:t> when the conditions below occur.</a:t>
          </a:r>
          <a:endParaRPr lang="en-US" sz="1000"/>
        </a:p>
        <a:p>
          <a:pPr marL="91440" lvl="0">
            <a:spcBef>
              <a:spcPts val="600"/>
            </a:spcBef>
          </a:pPr>
          <a:r>
            <a:rPr lang="en-US" sz="1000"/>
            <a:t>*  Percent Retained Each Sieve.  Indicates more</a:t>
          </a:r>
          <a:r>
            <a:rPr lang="en-US" sz="1000" baseline="0"/>
            <a:t> than 10 percentage point change in percent retained on the sieve from the previous sieve.</a:t>
          </a:r>
          <a:endParaRPr lang="en-US" sz="1000"/>
        </a:p>
        <a:p>
          <a:pPr marL="91440">
            <a:spcBef>
              <a:spcPts val="600"/>
            </a:spcBef>
          </a:pP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**  0.45 Power Chart Deviation.  Indicates a deviation from the Power Chart maximum density line greater than 7 percentage points.</a:t>
          </a:r>
        </a:p>
        <a:p>
          <a:endParaRPr lang="en-US" sz="10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3  Power Chart is the theoretical max density straight line on the 0.45 Power Chart.  It starts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at the origin of the chart and ends at the Nominal Maximum Sieve Size.</a:t>
          </a:r>
          <a:endParaRPr lang="en-US" sz="1000"/>
        </a:p>
      </xdr:txBody>
    </xdr:sp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0.38421</cdr:x>
      <cdr:y>0.68852</cdr:y>
    </cdr:from>
    <cdr:to>
      <cdr:x>0.75088</cdr:x>
      <cdr:y>0.76066</cdr:y>
    </cdr:to>
    <cdr:sp macro="" textlink="Calculation!$Z$40">
      <cdr:nvSpPr>
        <cdr:cNvPr id="2" name="TextBox 1"/>
        <cdr:cNvSpPr txBox="1"/>
      </cdr:nvSpPr>
      <cdr:spPr>
        <a:xfrm xmlns:a="http://schemas.openxmlformats.org/drawingml/2006/main">
          <a:off x="2085976" y="2000251"/>
          <a:ext cx="1990726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D55C8E18-8788-4A7F-8131-6EBF7D4F8291}" type="TxLink">
            <a:rPr lang="en-US" sz="1000"/>
            <a:pPr algn="ctr"/>
            <a:t> </a:t>
          </a:fld>
          <a:endParaRPr lang="en-US" sz="10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0.40417</cdr:x>
      <cdr:y>0.56597</cdr:y>
    </cdr:from>
    <cdr:to>
      <cdr:x>0.5937</cdr:x>
      <cdr:y>0.65625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98190" y="1897584"/>
          <a:ext cx="1030785" cy="302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V, Rocky</a:t>
          </a:r>
        </a:p>
      </cdr:txBody>
    </cdr:sp>
  </cdr:relSizeAnchor>
  <cdr:relSizeAnchor xmlns:cdr="http://schemas.openxmlformats.org/drawingml/2006/chartDrawing">
    <cdr:from>
      <cdr:x>0.15833</cdr:x>
      <cdr:y>0.13636</cdr:y>
    </cdr:from>
    <cdr:to>
      <cdr:x>0.35026</cdr:x>
      <cdr:y>0.22664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61121" y="457200"/>
          <a:ext cx="1043864" cy="302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IV, Sticky</a:t>
          </a:r>
        </a:p>
      </cdr:txBody>
    </cdr:sp>
  </cdr:relSizeAnchor>
  <cdr:relSizeAnchor xmlns:cdr="http://schemas.openxmlformats.org/drawingml/2006/chartDrawing">
    <cdr:from>
      <cdr:x>0.1018</cdr:x>
      <cdr:y>0.2983</cdr:y>
    </cdr:from>
    <cdr:to>
      <cdr:x>0.17709</cdr:x>
      <cdr:y>0.64205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53674" y="1000125"/>
          <a:ext cx="409486" cy="1152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/>
        <a:lstStyle xmlns:a="http://schemas.openxmlformats.org/drawingml/2006/main"/>
        <a:p xmlns:a="http://schemas.openxmlformats.org/drawingml/2006/main">
          <a:pPr algn="ctr"/>
          <a:r>
            <a:rPr lang="en-US" sz="900"/>
            <a:t>Zone I, Gap Graded</a:t>
          </a:r>
        </a:p>
      </cdr:txBody>
    </cdr:sp>
  </cdr:relSizeAnchor>
  <cdr:relSizeAnchor xmlns:cdr="http://schemas.openxmlformats.org/drawingml/2006/chartDrawing">
    <cdr:from>
      <cdr:x>0.53804</cdr:x>
      <cdr:y>0.21339</cdr:y>
    </cdr:from>
    <cdr:to>
      <cdr:x>0.78109</cdr:x>
      <cdr:y>0.33239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26276" y="715442"/>
          <a:ext cx="1321894" cy="398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III, Well</a:t>
          </a:r>
          <a:r>
            <a:rPr lang="en-US" sz="900" baseline="0"/>
            <a:t> Graded, 3/4" and finer</a:t>
          </a:r>
          <a:endParaRPr lang="en-US" sz="900"/>
        </a:p>
      </cdr:txBody>
    </cdr:sp>
  </cdr:relSizeAnchor>
  <cdr:relSizeAnchor xmlns:cdr="http://schemas.openxmlformats.org/drawingml/2006/chartDrawing">
    <cdr:from>
      <cdr:x>0.23292</cdr:x>
      <cdr:y>0.20486</cdr:y>
    </cdr:from>
    <cdr:to>
      <cdr:x>0.52539</cdr:x>
      <cdr:y>0.32387</cdr:y>
    </cdr:to>
    <cdr:sp macro="" textlink="">
      <cdr:nvSpPr>
        <cdr:cNvPr id="6" name="TextBox 5"/>
        <cdr:cNvSpPr txBox="1"/>
      </cdr:nvSpPr>
      <cdr:spPr>
        <a:xfrm xmlns:a="http://schemas.openxmlformats.org/drawingml/2006/main" rot="20713446">
          <a:off x="1266798" y="686839"/>
          <a:ext cx="1590678" cy="399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900"/>
            <a:t>Zone II, Well</a:t>
          </a:r>
          <a:r>
            <a:rPr lang="en-US" sz="900" baseline="0"/>
            <a:t> Graded, 1 1/2" to 3/4"</a:t>
          </a:r>
          <a:endParaRPr lang="en-US" sz="900"/>
        </a:p>
      </cdr:txBody>
    </cdr:sp>
  </cdr:relSizeAnchor>
  <cdr:relSizeAnchor xmlns:cdr="http://schemas.openxmlformats.org/drawingml/2006/chartDrawing">
    <cdr:from>
      <cdr:x>0.15339</cdr:x>
      <cdr:y>0.58135</cdr:y>
    </cdr:from>
    <cdr:to>
      <cdr:x>0.2364</cdr:x>
      <cdr:y>0.64894</cdr:y>
    </cdr:to>
    <cdr:sp macro="" textlink="">
      <cdr:nvSpPr>
        <cdr:cNvPr id="7" name="TextBox 6"/>
        <cdr:cNvSpPr txBox="1"/>
      </cdr:nvSpPr>
      <cdr:spPr>
        <a:xfrm xmlns:a="http://schemas.openxmlformats.org/drawingml/2006/main" rot="20713446">
          <a:off x="832778" y="1949145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II-a</a:t>
          </a:r>
        </a:p>
      </cdr:txBody>
    </cdr:sp>
  </cdr:relSizeAnchor>
  <cdr:relSizeAnchor xmlns:cdr="http://schemas.openxmlformats.org/drawingml/2006/chartDrawing">
    <cdr:from>
      <cdr:x>0.14988</cdr:x>
      <cdr:y>0.46487</cdr:y>
    </cdr:from>
    <cdr:to>
      <cdr:x>0.23289</cdr:x>
      <cdr:y>0.53246</cdr:y>
    </cdr:to>
    <cdr:sp macro="" textlink="">
      <cdr:nvSpPr>
        <cdr:cNvPr id="8" name="TextBox 7"/>
        <cdr:cNvSpPr txBox="1"/>
      </cdr:nvSpPr>
      <cdr:spPr>
        <a:xfrm xmlns:a="http://schemas.openxmlformats.org/drawingml/2006/main" rot="20713446">
          <a:off x="813729" y="1558620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II-b</a:t>
          </a:r>
        </a:p>
      </cdr:txBody>
    </cdr:sp>
  </cdr:relSizeAnchor>
  <cdr:relSizeAnchor xmlns:cdr="http://schemas.openxmlformats.org/drawingml/2006/chartDrawing">
    <cdr:from>
      <cdr:x>0.14637</cdr:x>
      <cdr:y>0.33987</cdr:y>
    </cdr:from>
    <cdr:to>
      <cdr:x>0.22938</cdr:x>
      <cdr:y>0.40746</cdr:y>
    </cdr:to>
    <cdr:sp macro="" textlink="">
      <cdr:nvSpPr>
        <cdr:cNvPr id="9" name="TextBox 8"/>
        <cdr:cNvSpPr txBox="1"/>
      </cdr:nvSpPr>
      <cdr:spPr>
        <a:xfrm xmlns:a="http://schemas.openxmlformats.org/drawingml/2006/main" rot="20713446">
          <a:off x="794679" y="1139520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II-c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0.38421</cdr:x>
      <cdr:y>0.68852</cdr:y>
    </cdr:from>
    <cdr:to>
      <cdr:x>0.75088</cdr:x>
      <cdr:y>0.76066</cdr:y>
    </cdr:to>
    <cdr:sp macro="" textlink="'Aggregate Charts'!$AA$41">
      <cdr:nvSpPr>
        <cdr:cNvPr id="2" name="TextBox 1"/>
        <cdr:cNvSpPr txBox="1"/>
      </cdr:nvSpPr>
      <cdr:spPr>
        <a:xfrm xmlns:a="http://schemas.openxmlformats.org/drawingml/2006/main">
          <a:off x="2085976" y="2000251"/>
          <a:ext cx="1990726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D55C8E18-8788-4A7F-8131-6EBF7D4F8291}" type="TxLink">
            <a:rPr lang="en-US" sz="1000"/>
            <a:pPr algn="ctr"/>
            <a:t> </a:t>
          </a:fld>
          <a:endParaRPr lang="en-US" sz="1000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0.40417</cdr:x>
      <cdr:y>0.56597</cdr:y>
    </cdr:from>
    <cdr:to>
      <cdr:x>0.5937</cdr:x>
      <cdr:y>0.65625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98190" y="1897584"/>
          <a:ext cx="1030785" cy="302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V, Rocky</a:t>
          </a:r>
        </a:p>
      </cdr:txBody>
    </cdr:sp>
  </cdr:relSizeAnchor>
  <cdr:relSizeAnchor xmlns:cdr="http://schemas.openxmlformats.org/drawingml/2006/chartDrawing">
    <cdr:from>
      <cdr:x>0.15833</cdr:x>
      <cdr:y>0.13636</cdr:y>
    </cdr:from>
    <cdr:to>
      <cdr:x>0.35026</cdr:x>
      <cdr:y>0.22664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61121" y="457200"/>
          <a:ext cx="1043864" cy="302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IV, Sticky</a:t>
          </a:r>
        </a:p>
      </cdr:txBody>
    </cdr:sp>
  </cdr:relSizeAnchor>
  <cdr:relSizeAnchor xmlns:cdr="http://schemas.openxmlformats.org/drawingml/2006/chartDrawing">
    <cdr:from>
      <cdr:x>0.1018</cdr:x>
      <cdr:y>0.2983</cdr:y>
    </cdr:from>
    <cdr:to>
      <cdr:x>0.17709</cdr:x>
      <cdr:y>0.64205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53674" y="1000125"/>
          <a:ext cx="409486" cy="1152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/>
        <a:lstStyle xmlns:a="http://schemas.openxmlformats.org/drawingml/2006/main"/>
        <a:p xmlns:a="http://schemas.openxmlformats.org/drawingml/2006/main">
          <a:pPr algn="ctr"/>
          <a:r>
            <a:rPr lang="en-US" sz="900"/>
            <a:t>Zone I, Gap Graded</a:t>
          </a:r>
        </a:p>
      </cdr:txBody>
    </cdr:sp>
  </cdr:relSizeAnchor>
  <cdr:relSizeAnchor xmlns:cdr="http://schemas.openxmlformats.org/drawingml/2006/chartDrawing">
    <cdr:from>
      <cdr:x>0.53804</cdr:x>
      <cdr:y>0.21339</cdr:y>
    </cdr:from>
    <cdr:to>
      <cdr:x>0.78109</cdr:x>
      <cdr:y>0.33239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26276" y="715442"/>
          <a:ext cx="1321894" cy="398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III, Well</a:t>
          </a:r>
          <a:r>
            <a:rPr lang="en-US" sz="900" baseline="0"/>
            <a:t> Graded, 3/4" and finer</a:t>
          </a:r>
          <a:endParaRPr lang="en-US" sz="900"/>
        </a:p>
      </cdr:txBody>
    </cdr:sp>
  </cdr:relSizeAnchor>
  <cdr:relSizeAnchor xmlns:cdr="http://schemas.openxmlformats.org/drawingml/2006/chartDrawing">
    <cdr:from>
      <cdr:x>0.23292</cdr:x>
      <cdr:y>0.20486</cdr:y>
    </cdr:from>
    <cdr:to>
      <cdr:x>0.52539</cdr:x>
      <cdr:y>0.32387</cdr:y>
    </cdr:to>
    <cdr:sp macro="" textlink="">
      <cdr:nvSpPr>
        <cdr:cNvPr id="6" name="TextBox 5"/>
        <cdr:cNvSpPr txBox="1"/>
      </cdr:nvSpPr>
      <cdr:spPr>
        <a:xfrm xmlns:a="http://schemas.openxmlformats.org/drawingml/2006/main" rot="20713446">
          <a:off x="1266798" y="686839"/>
          <a:ext cx="1590678" cy="399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900"/>
            <a:t>Zone II, Well</a:t>
          </a:r>
          <a:r>
            <a:rPr lang="en-US" sz="900" baseline="0"/>
            <a:t> Graded, 1 1/2" to 3/4"</a:t>
          </a:r>
          <a:endParaRPr lang="en-US" sz="900"/>
        </a:p>
      </cdr:txBody>
    </cdr:sp>
  </cdr:relSizeAnchor>
  <cdr:relSizeAnchor xmlns:cdr="http://schemas.openxmlformats.org/drawingml/2006/chartDrawing">
    <cdr:from>
      <cdr:x>0.15339</cdr:x>
      <cdr:y>0.58135</cdr:y>
    </cdr:from>
    <cdr:to>
      <cdr:x>0.2364</cdr:x>
      <cdr:y>0.64894</cdr:y>
    </cdr:to>
    <cdr:sp macro="" textlink="">
      <cdr:nvSpPr>
        <cdr:cNvPr id="7" name="TextBox 6"/>
        <cdr:cNvSpPr txBox="1"/>
      </cdr:nvSpPr>
      <cdr:spPr>
        <a:xfrm xmlns:a="http://schemas.openxmlformats.org/drawingml/2006/main" rot="20713446">
          <a:off x="832778" y="1949145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II-a</a:t>
          </a:r>
        </a:p>
      </cdr:txBody>
    </cdr:sp>
  </cdr:relSizeAnchor>
  <cdr:relSizeAnchor xmlns:cdr="http://schemas.openxmlformats.org/drawingml/2006/chartDrawing">
    <cdr:from>
      <cdr:x>0.14988</cdr:x>
      <cdr:y>0.46487</cdr:y>
    </cdr:from>
    <cdr:to>
      <cdr:x>0.23289</cdr:x>
      <cdr:y>0.53246</cdr:y>
    </cdr:to>
    <cdr:sp macro="" textlink="">
      <cdr:nvSpPr>
        <cdr:cNvPr id="8" name="TextBox 7"/>
        <cdr:cNvSpPr txBox="1"/>
      </cdr:nvSpPr>
      <cdr:spPr>
        <a:xfrm xmlns:a="http://schemas.openxmlformats.org/drawingml/2006/main" rot="20713446">
          <a:off x="813729" y="1558620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II-b</a:t>
          </a:r>
        </a:p>
      </cdr:txBody>
    </cdr:sp>
  </cdr:relSizeAnchor>
  <cdr:relSizeAnchor xmlns:cdr="http://schemas.openxmlformats.org/drawingml/2006/chartDrawing">
    <cdr:from>
      <cdr:x>0.14637</cdr:x>
      <cdr:y>0.33987</cdr:y>
    </cdr:from>
    <cdr:to>
      <cdr:x>0.22938</cdr:x>
      <cdr:y>0.40746</cdr:y>
    </cdr:to>
    <cdr:sp macro="" textlink="">
      <cdr:nvSpPr>
        <cdr:cNvPr id="9" name="TextBox 8"/>
        <cdr:cNvSpPr txBox="1"/>
      </cdr:nvSpPr>
      <cdr:spPr>
        <a:xfrm xmlns:a="http://schemas.openxmlformats.org/drawingml/2006/main" rot="20713446">
          <a:off x="794679" y="1139520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II-c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0.38421</cdr:x>
      <cdr:y>0.68852</cdr:y>
    </cdr:from>
    <cdr:to>
      <cdr:x>0.75088</cdr:x>
      <cdr:y>0.76066</cdr:y>
    </cdr:to>
    <cdr:sp macro="" textlink="Calculation!$Z$40">
      <cdr:nvSpPr>
        <cdr:cNvPr id="2" name="TextBox 1"/>
        <cdr:cNvSpPr txBox="1"/>
      </cdr:nvSpPr>
      <cdr:spPr>
        <a:xfrm xmlns:a="http://schemas.openxmlformats.org/drawingml/2006/main">
          <a:off x="2085976" y="2000251"/>
          <a:ext cx="1990726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D55C8E18-8788-4A7F-8131-6EBF7D4F8291}" type="TxLink">
            <a:rPr lang="en-US" sz="1000"/>
            <a:pPr algn="ctr"/>
            <a:t> </a:t>
          </a:fld>
          <a:endParaRPr lang="en-US" sz="10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0.32471</cdr:x>
      <cdr:y>0.66312</cdr:y>
    </cdr:from>
    <cdr:to>
      <cdr:x>0.51424</cdr:x>
      <cdr:y>0.7534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90375" y="2080551"/>
          <a:ext cx="1045037" cy="283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900"/>
            <a:t>Zone V, Rocky</a:t>
          </a:r>
        </a:p>
      </cdr:txBody>
    </cdr:sp>
  </cdr:relSizeAnchor>
  <cdr:relSizeAnchor xmlns:cdr="http://schemas.openxmlformats.org/drawingml/2006/chartDrawing">
    <cdr:from>
      <cdr:x>0.19461</cdr:x>
      <cdr:y>0.18797</cdr:y>
    </cdr:from>
    <cdr:to>
      <cdr:x>0.38654</cdr:x>
      <cdr:y>0.27825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73030" y="589759"/>
          <a:ext cx="1058270" cy="283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900"/>
            <a:t>Zone IV, Sticky</a:t>
          </a:r>
        </a:p>
      </cdr:txBody>
    </cdr:sp>
  </cdr:relSizeAnchor>
  <cdr:relSizeAnchor xmlns:cdr="http://schemas.openxmlformats.org/drawingml/2006/chartDrawing">
    <cdr:from>
      <cdr:x>0.09144</cdr:x>
      <cdr:y>0.41894</cdr:y>
    </cdr:from>
    <cdr:to>
      <cdr:x>0.18484</cdr:x>
      <cdr:y>0.67544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04158" y="1314450"/>
          <a:ext cx="515017" cy="8047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/>
        <a:lstStyle xmlns:a="http://schemas.openxmlformats.org/drawingml/2006/main"/>
        <a:p xmlns:a="http://schemas.openxmlformats.org/drawingml/2006/main">
          <a:pPr algn="ctr"/>
          <a:r>
            <a:rPr lang="en-US" sz="900"/>
            <a:t>Zone I, Gap Graded</a:t>
          </a:r>
        </a:p>
      </cdr:txBody>
    </cdr:sp>
  </cdr:relSizeAnchor>
  <cdr:relSizeAnchor xmlns:cdr="http://schemas.openxmlformats.org/drawingml/2006/chartDrawing">
    <cdr:from>
      <cdr:x>0.51904</cdr:x>
      <cdr:y>0.31357</cdr:y>
    </cdr:from>
    <cdr:to>
      <cdr:x>0.76209</cdr:x>
      <cdr:y>0.43257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861887" y="983844"/>
          <a:ext cx="1340137" cy="373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900"/>
            <a:t>Zone III, Well</a:t>
          </a:r>
          <a:r>
            <a:rPr lang="en-US" sz="900" baseline="0"/>
            <a:t> Graded, 3/4" and finer</a:t>
          </a:r>
          <a:endParaRPr lang="en-US" sz="900"/>
        </a:p>
      </cdr:txBody>
    </cdr:sp>
  </cdr:relSizeAnchor>
  <cdr:relSizeAnchor xmlns:cdr="http://schemas.openxmlformats.org/drawingml/2006/chartDrawing">
    <cdr:from>
      <cdr:x>0.21565</cdr:x>
      <cdr:y>0.31719</cdr:y>
    </cdr:from>
    <cdr:to>
      <cdr:x>0.50812</cdr:x>
      <cdr:y>0.4362</cdr:y>
    </cdr:to>
    <cdr:sp macro="" textlink="">
      <cdr:nvSpPr>
        <cdr:cNvPr id="6" name="TextBox 5"/>
        <cdr:cNvSpPr txBox="1"/>
      </cdr:nvSpPr>
      <cdr:spPr>
        <a:xfrm xmlns:a="http://schemas.openxmlformats.org/drawingml/2006/main" rot="20936777">
          <a:off x="1189032" y="995180"/>
          <a:ext cx="1612630" cy="3733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900"/>
            <a:t>Zone II, Well</a:t>
          </a:r>
          <a:r>
            <a:rPr lang="en-US" sz="900" baseline="0"/>
            <a:t> Graded, 1 1/2" to 3/4"</a:t>
          </a:r>
          <a:endParaRPr lang="en-US" sz="900"/>
        </a:p>
      </cdr:txBody>
    </cdr:sp>
  </cdr:relSizeAnchor>
  <cdr:relSizeAnchor xmlns:cdr="http://schemas.openxmlformats.org/drawingml/2006/chartDrawing">
    <cdr:from>
      <cdr:x>0.15339</cdr:x>
      <cdr:y>0.6026</cdr:y>
    </cdr:from>
    <cdr:to>
      <cdr:x>0.2364</cdr:x>
      <cdr:y>0.67019</cdr:y>
    </cdr:to>
    <cdr:sp macro="" textlink="">
      <cdr:nvSpPr>
        <cdr:cNvPr id="7" name="TextBox 6"/>
        <cdr:cNvSpPr txBox="1"/>
      </cdr:nvSpPr>
      <cdr:spPr>
        <a:xfrm xmlns:a="http://schemas.openxmlformats.org/drawingml/2006/main" rot="20923893">
          <a:off x="845768" y="1890681"/>
          <a:ext cx="457703" cy="212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II-a</a:t>
          </a:r>
        </a:p>
      </cdr:txBody>
    </cdr:sp>
  </cdr:relSizeAnchor>
  <cdr:relSizeAnchor xmlns:cdr="http://schemas.openxmlformats.org/drawingml/2006/chartDrawing">
    <cdr:from>
      <cdr:x>0.14988</cdr:x>
      <cdr:y>0.51041</cdr:y>
    </cdr:from>
    <cdr:to>
      <cdr:x>0.23289</cdr:x>
      <cdr:y>0.578</cdr:y>
    </cdr:to>
    <cdr:sp macro="" textlink="">
      <cdr:nvSpPr>
        <cdr:cNvPr id="8" name="TextBox 7"/>
        <cdr:cNvSpPr txBox="1"/>
      </cdr:nvSpPr>
      <cdr:spPr>
        <a:xfrm xmlns:a="http://schemas.openxmlformats.org/drawingml/2006/main" rot="20856278">
          <a:off x="826413" y="1601422"/>
          <a:ext cx="457703" cy="212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II-b</a:t>
          </a:r>
        </a:p>
      </cdr:txBody>
    </cdr:sp>
  </cdr:relSizeAnchor>
  <cdr:relSizeAnchor xmlns:cdr="http://schemas.openxmlformats.org/drawingml/2006/chartDrawing">
    <cdr:from>
      <cdr:x>0.15155</cdr:x>
      <cdr:y>0.40666</cdr:y>
    </cdr:from>
    <cdr:to>
      <cdr:x>0.23456</cdr:x>
      <cdr:y>0.47425</cdr:y>
    </cdr:to>
    <cdr:sp macro="" textlink="">
      <cdr:nvSpPr>
        <cdr:cNvPr id="9" name="TextBox 8"/>
        <cdr:cNvSpPr txBox="1"/>
      </cdr:nvSpPr>
      <cdr:spPr>
        <a:xfrm xmlns:a="http://schemas.openxmlformats.org/drawingml/2006/main" rot="20925614">
          <a:off x="835634" y="1275904"/>
          <a:ext cx="457703" cy="212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II-c</a:t>
          </a:r>
        </a:p>
      </cdr:txBody>
    </cdr:sp>
  </cdr:relSizeAnchor>
  <cdr:relSizeAnchor xmlns:cdr="http://schemas.openxmlformats.org/drawingml/2006/chartDrawing">
    <cdr:from>
      <cdr:x>0.71345</cdr:x>
      <cdr:y>0.92676</cdr:y>
    </cdr:from>
    <cdr:to>
      <cdr:x>0.99502</cdr:x>
      <cdr:y>0.98873</cdr:y>
    </cdr:to>
    <cdr:sp macro="" textlink="Calculation!$I$65">
      <cdr:nvSpPr>
        <cdr:cNvPr id="12" name="TextBox 11"/>
        <cdr:cNvSpPr txBox="1"/>
      </cdr:nvSpPr>
      <cdr:spPr>
        <a:xfrm xmlns:a="http://schemas.openxmlformats.org/drawingml/2006/main">
          <a:off x="3933825" y="3133725"/>
          <a:ext cx="1552574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B4EAFF97-A4D4-4D00-8C83-519A0F722994}" type="TxLink">
            <a:rPr lang="en-US" sz="900"/>
            <a:pPr algn="r"/>
            <a:t>#VALUE!</a:t>
          </a:fld>
          <a:endParaRPr lang="en-US" sz="9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0.38421</cdr:x>
      <cdr:y>0.68852</cdr:y>
    </cdr:from>
    <cdr:to>
      <cdr:x>0.75088</cdr:x>
      <cdr:y>0.76066</cdr:y>
    </cdr:to>
    <cdr:sp macro="" textlink="Calculation!$AD$40">
      <cdr:nvSpPr>
        <cdr:cNvPr id="2" name="TextBox 1"/>
        <cdr:cNvSpPr txBox="1"/>
      </cdr:nvSpPr>
      <cdr:spPr>
        <a:xfrm xmlns:a="http://schemas.openxmlformats.org/drawingml/2006/main">
          <a:off x="2085976" y="2000251"/>
          <a:ext cx="1990726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D55C8E18-8788-4A7F-8131-6EBF7D4F8291}" type="TxLink">
            <a:rPr lang="en-US" sz="1000"/>
            <a:pPr algn="ctr"/>
            <a:t> </a:t>
          </a:fld>
          <a:endParaRPr lang="en-US" sz="1000"/>
        </a:p>
      </cdr:txBody>
    </cdr:sp>
  </cdr:relSizeAnchor>
  <cdr:relSizeAnchor xmlns:cdr="http://schemas.openxmlformats.org/drawingml/2006/chartDrawing">
    <cdr:from>
      <cdr:x>0.67026</cdr:x>
      <cdr:y>0.0641</cdr:y>
    </cdr:from>
    <cdr:to>
      <cdr:x>1</cdr:x>
      <cdr:y>0.13782</cdr:y>
    </cdr:to>
    <cdr:sp macro="" textlink="Calculation!$AF$40">
      <cdr:nvSpPr>
        <cdr:cNvPr id="3" name="TextBox 2"/>
        <cdr:cNvSpPr txBox="1"/>
      </cdr:nvSpPr>
      <cdr:spPr>
        <a:xfrm xmlns:a="http://schemas.openxmlformats.org/drawingml/2006/main">
          <a:off x="3695700" y="190500"/>
          <a:ext cx="1818132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0FBDF645-302C-40F7-B0D2-E5D91C182847}" type="TxLink">
            <a:rPr lang="en-US" sz="900"/>
            <a:pPr algn="ctr"/>
            <a:t>Nominal Maximum Size = Pan</a:t>
          </a:fld>
          <a:endParaRPr lang="en-US" sz="9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571500</xdr:colOff>
      <xdr:row>20</xdr:row>
      <xdr:rowOff>171450</xdr:rowOff>
    </xdr:from>
    <xdr:to>
      <xdr:col>36</xdr:col>
      <xdr:colOff>514350</xdr:colOff>
      <xdr:row>35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28576</xdr:colOff>
      <xdr:row>4</xdr:row>
      <xdr:rowOff>38100</xdr:rowOff>
    </xdr:from>
    <xdr:to>
      <xdr:col>26</xdr:col>
      <xdr:colOff>581026</xdr:colOff>
      <xdr:row>20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28575</xdr:colOff>
      <xdr:row>35</xdr:row>
      <xdr:rowOff>9525</xdr:rowOff>
    </xdr:from>
    <xdr:to>
      <xdr:col>26</xdr:col>
      <xdr:colOff>581025</xdr:colOff>
      <xdr:row>51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28575</xdr:colOff>
      <xdr:row>20</xdr:row>
      <xdr:rowOff>152400</xdr:rowOff>
    </xdr:from>
    <xdr:to>
      <xdr:col>26</xdr:col>
      <xdr:colOff>581025</xdr:colOff>
      <xdr:row>35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28576</xdr:colOff>
      <xdr:row>4</xdr:row>
      <xdr:rowOff>38100</xdr:rowOff>
    </xdr:from>
    <xdr:to>
      <xdr:col>26</xdr:col>
      <xdr:colOff>581026</xdr:colOff>
      <xdr:row>20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28575</xdr:colOff>
      <xdr:row>35</xdr:row>
      <xdr:rowOff>9525</xdr:rowOff>
    </xdr:from>
    <xdr:to>
      <xdr:col>26</xdr:col>
      <xdr:colOff>581025</xdr:colOff>
      <xdr:row>51</xdr:row>
      <xdr:rowOff>104775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28575</xdr:colOff>
      <xdr:row>20</xdr:row>
      <xdr:rowOff>152400</xdr:rowOff>
    </xdr:from>
    <xdr:to>
      <xdr:col>26</xdr:col>
      <xdr:colOff>581025</xdr:colOff>
      <xdr:row>35</xdr:row>
      <xdr:rowOff>9525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304800</xdr:colOff>
      <xdr:row>33</xdr:row>
      <xdr:rowOff>180975</xdr:rowOff>
    </xdr:from>
    <xdr:to>
      <xdr:col>8</xdr:col>
      <xdr:colOff>457200</xdr:colOff>
      <xdr:row>50</xdr:row>
      <xdr:rowOff>180975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2743200" y="6467475"/>
          <a:ext cx="2590800" cy="3238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/>
            <a:t>Notes;</a:t>
          </a:r>
        </a:p>
        <a:p>
          <a:endParaRPr lang="en-US" sz="1000"/>
        </a:p>
        <a:p>
          <a:r>
            <a:rPr lang="en-US" sz="1000"/>
            <a:t>1  Combined Aggregate values used to compute the CF and WF are highlighted.</a:t>
          </a:r>
        </a:p>
        <a:p>
          <a:endParaRPr lang="en-US" sz="1000"/>
        </a:p>
        <a:p>
          <a:r>
            <a:rPr lang="en-US" sz="1000"/>
            <a:t>2  Results in these columns will be marked</a:t>
          </a:r>
          <a:r>
            <a:rPr lang="en-US" sz="1000" baseline="0"/>
            <a:t> when the conditions below occur.</a:t>
          </a:r>
          <a:endParaRPr lang="en-US" sz="1000"/>
        </a:p>
        <a:p>
          <a:pPr marL="91440" lvl="0">
            <a:spcBef>
              <a:spcPts val="600"/>
            </a:spcBef>
          </a:pPr>
          <a:r>
            <a:rPr lang="en-US" sz="1000"/>
            <a:t>*  Percent Retained Each Sieve.  Indicates more</a:t>
          </a:r>
          <a:r>
            <a:rPr lang="en-US" sz="1000" baseline="0"/>
            <a:t> than 10 percentage point change in percent retained on the sieve from the previous sieve.</a:t>
          </a:r>
          <a:endParaRPr lang="en-US" sz="1000"/>
        </a:p>
        <a:p>
          <a:pPr marL="91440">
            <a:spcBef>
              <a:spcPts val="600"/>
            </a:spcBef>
          </a:pP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**  0.45 Power Chart Deviation.  Indicates a deviation from the Power Chart maximum density line greater than 7 percentage points.</a:t>
          </a:r>
        </a:p>
        <a:p>
          <a:endParaRPr lang="en-US" sz="10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3  Power Chart is the theoretical max density straight line on the 0.45 Power Chart.  It starts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at the origin of the chart and ends at the Nominal Maximum Sieve Size.</a:t>
          </a:r>
          <a:endParaRPr lang="en-US" sz="1000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0.38421</cdr:x>
      <cdr:y>0.68852</cdr:y>
    </cdr:from>
    <cdr:to>
      <cdr:x>0.75088</cdr:x>
      <cdr:y>0.76066</cdr:y>
    </cdr:to>
    <cdr:sp macro="" textlink="'Calculation (4)'!$Z$40">
      <cdr:nvSpPr>
        <cdr:cNvPr id="2" name="TextBox 1"/>
        <cdr:cNvSpPr txBox="1"/>
      </cdr:nvSpPr>
      <cdr:spPr>
        <a:xfrm xmlns:a="http://schemas.openxmlformats.org/drawingml/2006/main">
          <a:off x="2085976" y="2000251"/>
          <a:ext cx="1990726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D55C8E18-8788-4A7F-8131-6EBF7D4F8291}" type="TxLink">
            <a:rPr lang="en-US" sz="1000"/>
            <a:pPr algn="ctr"/>
            <a:t> </a:t>
          </a:fld>
          <a:endParaRPr lang="en-US" sz="10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0.40417</cdr:x>
      <cdr:y>0.56597</cdr:y>
    </cdr:from>
    <cdr:to>
      <cdr:x>0.5937</cdr:x>
      <cdr:y>0.65625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98190" y="1897584"/>
          <a:ext cx="1030785" cy="302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V, Rocky</a:t>
          </a:r>
        </a:p>
      </cdr:txBody>
    </cdr:sp>
  </cdr:relSizeAnchor>
  <cdr:relSizeAnchor xmlns:cdr="http://schemas.openxmlformats.org/drawingml/2006/chartDrawing">
    <cdr:from>
      <cdr:x>0.15833</cdr:x>
      <cdr:y>0.13636</cdr:y>
    </cdr:from>
    <cdr:to>
      <cdr:x>0.35026</cdr:x>
      <cdr:y>0.22664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61121" y="457200"/>
          <a:ext cx="1043864" cy="302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IV, Sticky</a:t>
          </a:r>
        </a:p>
      </cdr:txBody>
    </cdr:sp>
  </cdr:relSizeAnchor>
  <cdr:relSizeAnchor xmlns:cdr="http://schemas.openxmlformats.org/drawingml/2006/chartDrawing">
    <cdr:from>
      <cdr:x>0.1018</cdr:x>
      <cdr:y>0.2983</cdr:y>
    </cdr:from>
    <cdr:to>
      <cdr:x>0.17709</cdr:x>
      <cdr:y>0.64205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53674" y="1000125"/>
          <a:ext cx="409486" cy="1152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/>
        <a:lstStyle xmlns:a="http://schemas.openxmlformats.org/drawingml/2006/main"/>
        <a:p xmlns:a="http://schemas.openxmlformats.org/drawingml/2006/main">
          <a:pPr algn="ctr"/>
          <a:r>
            <a:rPr lang="en-US" sz="900"/>
            <a:t>Zone I, Gap Graded</a:t>
          </a:r>
        </a:p>
      </cdr:txBody>
    </cdr:sp>
  </cdr:relSizeAnchor>
  <cdr:relSizeAnchor xmlns:cdr="http://schemas.openxmlformats.org/drawingml/2006/chartDrawing">
    <cdr:from>
      <cdr:x>0.53804</cdr:x>
      <cdr:y>0.21339</cdr:y>
    </cdr:from>
    <cdr:to>
      <cdr:x>0.78109</cdr:x>
      <cdr:y>0.33239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26276" y="715442"/>
          <a:ext cx="1321894" cy="398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III, Well</a:t>
          </a:r>
          <a:r>
            <a:rPr lang="en-US" sz="900" baseline="0"/>
            <a:t> Graded, 3/4" and finer</a:t>
          </a:r>
          <a:endParaRPr lang="en-US" sz="900"/>
        </a:p>
      </cdr:txBody>
    </cdr:sp>
  </cdr:relSizeAnchor>
  <cdr:relSizeAnchor xmlns:cdr="http://schemas.openxmlformats.org/drawingml/2006/chartDrawing">
    <cdr:from>
      <cdr:x>0.23292</cdr:x>
      <cdr:y>0.20486</cdr:y>
    </cdr:from>
    <cdr:to>
      <cdr:x>0.52539</cdr:x>
      <cdr:y>0.32387</cdr:y>
    </cdr:to>
    <cdr:sp macro="" textlink="">
      <cdr:nvSpPr>
        <cdr:cNvPr id="6" name="TextBox 5"/>
        <cdr:cNvSpPr txBox="1"/>
      </cdr:nvSpPr>
      <cdr:spPr>
        <a:xfrm xmlns:a="http://schemas.openxmlformats.org/drawingml/2006/main" rot="20713446">
          <a:off x="1266798" y="686839"/>
          <a:ext cx="1590678" cy="399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900"/>
            <a:t>Zone II, Well</a:t>
          </a:r>
          <a:r>
            <a:rPr lang="en-US" sz="900" baseline="0"/>
            <a:t> Graded, 1 1/2" to 3/4"</a:t>
          </a:r>
          <a:endParaRPr lang="en-US" sz="900"/>
        </a:p>
      </cdr:txBody>
    </cdr:sp>
  </cdr:relSizeAnchor>
  <cdr:relSizeAnchor xmlns:cdr="http://schemas.openxmlformats.org/drawingml/2006/chartDrawing">
    <cdr:from>
      <cdr:x>0.15339</cdr:x>
      <cdr:y>0.58135</cdr:y>
    </cdr:from>
    <cdr:to>
      <cdr:x>0.2364</cdr:x>
      <cdr:y>0.64894</cdr:y>
    </cdr:to>
    <cdr:sp macro="" textlink="">
      <cdr:nvSpPr>
        <cdr:cNvPr id="7" name="TextBox 6"/>
        <cdr:cNvSpPr txBox="1"/>
      </cdr:nvSpPr>
      <cdr:spPr>
        <a:xfrm xmlns:a="http://schemas.openxmlformats.org/drawingml/2006/main" rot="20713446">
          <a:off x="832778" y="1949145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II-a</a:t>
          </a:r>
        </a:p>
      </cdr:txBody>
    </cdr:sp>
  </cdr:relSizeAnchor>
  <cdr:relSizeAnchor xmlns:cdr="http://schemas.openxmlformats.org/drawingml/2006/chartDrawing">
    <cdr:from>
      <cdr:x>0.14988</cdr:x>
      <cdr:y>0.46487</cdr:y>
    </cdr:from>
    <cdr:to>
      <cdr:x>0.23289</cdr:x>
      <cdr:y>0.53246</cdr:y>
    </cdr:to>
    <cdr:sp macro="" textlink="">
      <cdr:nvSpPr>
        <cdr:cNvPr id="8" name="TextBox 7"/>
        <cdr:cNvSpPr txBox="1"/>
      </cdr:nvSpPr>
      <cdr:spPr>
        <a:xfrm xmlns:a="http://schemas.openxmlformats.org/drawingml/2006/main" rot="20713446">
          <a:off x="813729" y="1558620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II-b</a:t>
          </a:r>
        </a:p>
      </cdr:txBody>
    </cdr:sp>
  </cdr:relSizeAnchor>
  <cdr:relSizeAnchor xmlns:cdr="http://schemas.openxmlformats.org/drawingml/2006/chartDrawing">
    <cdr:from>
      <cdr:x>0.14637</cdr:x>
      <cdr:y>0.33987</cdr:y>
    </cdr:from>
    <cdr:to>
      <cdr:x>0.22938</cdr:x>
      <cdr:y>0.40746</cdr:y>
    </cdr:to>
    <cdr:sp macro="" textlink="">
      <cdr:nvSpPr>
        <cdr:cNvPr id="9" name="TextBox 8"/>
        <cdr:cNvSpPr txBox="1"/>
      </cdr:nvSpPr>
      <cdr:spPr>
        <a:xfrm xmlns:a="http://schemas.openxmlformats.org/drawingml/2006/main" rot="20713446">
          <a:off x="794679" y="1139520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II-c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0.38421</cdr:x>
      <cdr:y>0.68852</cdr:y>
    </cdr:from>
    <cdr:to>
      <cdr:x>0.75088</cdr:x>
      <cdr:y>0.76066</cdr:y>
    </cdr:to>
    <cdr:sp macro="" textlink="#REF!">
      <cdr:nvSpPr>
        <cdr:cNvPr id="2" name="TextBox 1"/>
        <cdr:cNvSpPr txBox="1"/>
      </cdr:nvSpPr>
      <cdr:spPr>
        <a:xfrm xmlns:a="http://schemas.openxmlformats.org/drawingml/2006/main">
          <a:off x="2085976" y="2000251"/>
          <a:ext cx="1990726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D55C8E18-8788-4A7F-8131-6EBF7D4F8291}" type="TxLink">
            <a:rPr lang="en-US" sz="1000"/>
            <a:pPr algn="ctr"/>
            <a:t> </a:t>
          </a:fld>
          <a:endParaRPr lang="en-US" sz="10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0.40417</cdr:x>
      <cdr:y>0.56597</cdr:y>
    </cdr:from>
    <cdr:to>
      <cdr:x>0.5937</cdr:x>
      <cdr:y>0.65625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98190" y="1897584"/>
          <a:ext cx="1030785" cy="302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V, Rocky</a:t>
          </a:r>
        </a:p>
      </cdr:txBody>
    </cdr:sp>
  </cdr:relSizeAnchor>
  <cdr:relSizeAnchor xmlns:cdr="http://schemas.openxmlformats.org/drawingml/2006/chartDrawing">
    <cdr:from>
      <cdr:x>0.15833</cdr:x>
      <cdr:y>0.13636</cdr:y>
    </cdr:from>
    <cdr:to>
      <cdr:x>0.35026</cdr:x>
      <cdr:y>0.22664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61121" y="457200"/>
          <a:ext cx="1043864" cy="302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IV, Sticky</a:t>
          </a:r>
        </a:p>
      </cdr:txBody>
    </cdr:sp>
  </cdr:relSizeAnchor>
  <cdr:relSizeAnchor xmlns:cdr="http://schemas.openxmlformats.org/drawingml/2006/chartDrawing">
    <cdr:from>
      <cdr:x>0.1018</cdr:x>
      <cdr:y>0.2983</cdr:y>
    </cdr:from>
    <cdr:to>
      <cdr:x>0.17709</cdr:x>
      <cdr:y>0.64205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53674" y="1000125"/>
          <a:ext cx="409486" cy="1152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/>
        <a:lstStyle xmlns:a="http://schemas.openxmlformats.org/drawingml/2006/main"/>
        <a:p xmlns:a="http://schemas.openxmlformats.org/drawingml/2006/main">
          <a:pPr algn="ctr"/>
          <a:r>
            <a:rPr lang="en-US" sz="900"/>
            <a:t>Zone I, Gap Graded</a:t>
          </a:r>
        </a:p>
      </cdr:txBody>
    </cdr:sp>
  </cdr:relSizeAnchor>
  <cdr:relSizeAnchor xmlns:cdr="http://schemas.openxmlformats.org/drawingml/2006/chartDrawing">
    <cdr:from>
      <cdr:x>0.53804</cdr:x>
      <cdr:y>0.21339</cdr:y>
    </cdr:from>
    <cdr:to>
      <cdr:x>0.78109</cdr:x>
      <cdr:y>0.33239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26276" y="715442"/>
          <a:ext cx="1321894" cy="398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Zone III, Well</a:t>
          </a:r>
          <a:r>
            <a:rPr lang="en-US" sz="900" baseline="0"/>
            <a:t> Graded, 3/4" and finer</a:t>
          </a:r>
          <a:endParaRPr lang="en-US" sz="900"/>
        </a:p>
      </cdr:txBody>
    </cdr:sp>
  </cdr:relSizeAnchor>
  <cdr:relSizeAnchor xmlns:cdr="http://schemas.openxmlformats.org/drawingml/2006/chartDrawing">
    <cdr:from>
      <cdr:x>0.23292</cdr:x>
      <cdr:y>0.20486</cdr:y>
    </cdr:from>
    <cdr:to>
      <cdr:x>0.52539</cdr:x>
      <cdr:y>0.32387</cdr:y>
    </cdr:to>
    <cdr:sp macro="" textlink="">
      <cdr:nvSpPr>
        <cdr:cNvPr id="6" name="TextBox 5"/>
        <cdr:cNvSpPr txBox="1"/>
      </cdr:nvSpPr>
      <cdr:spPr>
        <a:xfrm xmlns:a="http://schemas.openxmlformats.org/drawingml/2006/main" rot="20713446">
          <a:off x="1266798" y="686839"/>
          <a:ext cx="1590678" cy="399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900"/>
            <a:t>Zone II, Well</a:t>
          </a:r>
          <a:r>
            <a:rPr lang="en-US" sz="900" baseline="0"/>
            <a:t> Graded, 1 1/2" to 3/4"</a:t>
          </a:r>
          <a:endParaRPr lang="en-US" sz="900"/>
        </a:p>
      </cdr:txBody>
    </cdr:sp>
  </cdr:relSizeAnchor>
  <cdr:relSizeAnchor xmlns:cdr="http://schemas.openxmlformats.org/drawingml/2006/chartDrawing">
    <cdr:from>
      <cdr:x>0.15339</cdr:x>
      <cdr:y>0.58135</cdr:y>
    </cdr:from>
    <cdr:to>
      <cdr:x>0.2364</cdr:x>
      <cdr:y>0.64894</cdr:y>
    </cdr:to>
    <cdr:sp macro="" textlink="">
      <cdr:nvSpPr>
        <cdr:cNvPr id="7" name="TextBox 6"/>
        <cdr:cNvSpPr txBox="1"/>
      </cdr:nvSpPr>
      <cdr:spPr>
        <a:xfrm xmlns:a="http://schemas.openxmlformats.org/drawingml/2006/main" rot="20713446">
          <a:off x="832778" y="1949145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II-a</a:t>
          </a:r>
        </a:p>
      </cdr:txBody>
    </cdr:sp>
  </cdr:relSizeAnchor>
  <cdr:relSizeAnchor xmlns:cdr="http://schemas.openxmlformats.org/drawingml/2006/chartDrawing">
    <cdr:from>
      <cdr:x>0.14988</cdr:x>
      <cdr:y>0.46487</cdr:y>
    </cdr:from>
    <cdr:to>
      <cdr:x>0.23289</cdr:x>
      <cdr:y>0.53246</cdr:y>
    </cdr:to>
    <cdr:sp macro="" textlink="">
      <cdr:nvSpPr>
        <cdr:cNvPr id="8" name="TextBox 7"/>
        <cdr:cNvSpPr txBox="1"/>
      </cdr:nvSpPr>
      <cdr:spPr>
        <a:xfrm xmlns:a="http://schemas.openxmlformats.org/drawingml/2006/main" rot="20713446">
          <a:off x="813729" y="1558620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II-b</a:t>
          </a:r>
        </a:p>
      </cdr:txBody>
    </cdr:sp>
  </cdr:relSizeAnchor>
  <cdr:relSizeAnchor xmlns:cdr="http://schemas.openxmlformats.org/drawingml/2006/chartDrawing">
    <cdr:from>
      <cdr:x>0.14637</cdr:x>
      <cdr:y>0.33987</cdr:y>
    </cdr:from>
    <cdr:to>
      <cdr:x>0.22938</cdr:x>
      <cdr:y>0.40746</cdr:y>
    </cdr:to>
    <cdr:sp macro="" textlink="">
      <cdr:nvSpPr>
        <cdr:cNvPr id="9" name="TextBox 8"/>
        <cdr:cNvSpPr txBox="1"/>
      </cdr:nvSpPr>
      <cdr:spPr>
        <a:xfrm xmlns:a="http://schemas.openxmlformats.org/drawingml/2006/main" rot="20713446">
          <a:off x="794679" y="1139520"/>
          <a:ext cx="450699" cy="226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II-c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13CE-D2E9-4D68-BD1A-32880262FA35}">
  <dimension ref="A3:U55"/>
  <sheetViews>
    <sheetView zoomScaleNormal="100" zoomScaleSheetLayoutView="100" workbookViewId="0">
      <selection activeCell="D11" sqref="D11:H11"/>
    </sheetView>
  </sheetViews>
  <sheetFormatPr defaultRowHeight="12.75" x14ac:dyDescent="0.2"/>
  <cols>
    <col min="1" max="3" width="13.7109375" customWidth="1"/>
    <col min="4" max="4" width="11.42578125" bestFit="1" customWidth="1"/>
    <col min="9" max="9" width="10.5703125" customWidth="1"/>
    <col min="17" max="17" width="12.85546875" bestFit="1" customWidth="1"/>
  </cols>
  <sheetData>
    <row r="3" spans="1:21" ht="15" customHeight="1" x14ac:dyDescent="0.25">
      <c r="A3" s="609"/>
      <c r="B3" s="752" t="s">
        <v>55</v>
      </c>
      <c r="C3" s="752"/>
      <c r="D3" s="751" t="s">
        <v>50</v>
      </c>
      <c r="E3" s="751"/>
      <c r="F3" s="751"/>
      <c r="G3" s="751"/>
      <c r="H3" s="751"/>
      <c r="I3" s="621"/>
      <c r="U3" s="4"/>
    </row>
    <row r="4" spans="1:21" ht="15" x14ac:dyDescent="0.2">
      <c r="A4" s="2"/>
      <c r="B4" s="2"/>
      <c r="C4" s="2"/>
      <c r="D4" s="751" t="s">
        <v>51</v>
      </c>
      <c r="E4" s="751"/>
      <c r="F4" s="751"/>
      <c r="G4" s="751"/>
      <c r="H4" s="751"/>
      <c r="I4" s="2"/>
      <c r="J4" s="2"/>
      <c r="U4" s="4"/>
    </row>
    <row r="5" spans="1:21" ht="15" x14ac:dyDescent="0.2">
      <c r="A5" s="600"/>
      <c r="D5" s="751" t="s">
        <v>52</v>
      </c>
      <c r="E5" s="751"/>
      <c r="F5" s="751"/>
      <c r="G5" s="751"/>
      <c r="H5" s="751"/>
      <c r="I5" s="2"/>
      <c r="J5" s="2"/>
    </row>
    <row r="6" spans="1:21" ht="15" x14ac:dyDescent="0.2">
      <c r="A6" s="2"/>
      <c r="B6" s="2"/>
      <c r="C6" s="2"/>
      <c r="D6" s="751" t="s">
        <v>53</v>
      </c>
      <c r="E6" s="751"/>
      <c r="F6" s="751"/>
      <c r="G6" s="751"/>
      <c r="H6" s="751"/>
      <c r="I6" s="2"/>
    </row>
    <row r="7" spans="1:21" ht="15" x14ac:dyDescent="0.2">
      <c r="A7" s="2"/>
      <c r="B7" s="2"/>
      <c r="C7" s="2"/>
      <c r="D7" s="751" t="s">
        <v>54</v>
      </c>
      <c r="E7" s="751"/>
      <c r="F7" s="751"/>
      <c r="G7" s="751"/>
      <c r="H7" s="751"/>
      <c r="I7" s="2"/>
    </row>
    <row r="8" spans="1:21" ht="15" x14ac:dyDescent="0.2">
      <c r="A8" s="2"/>
      <c r="B8" s="2"/>
      <c r="C8" s="2"/>
      <c r="D8" s="751" t="s">
        <v>240</v>
      </c>
      <c r="E8" s="751"/>
      <c r="F8" s="751"/>
      <c r="G8" s="751"/>
      <c r="H8" s="751"/>
      <c r="I8" s="2"/>
    </row>
    <row r="9" spans="1:21" ht="15" x14ac:dyDescent="0.2">
      <c r="A9" s="2"/>
      <c r="B9" s="2"/>
      <c r="C9" s="2"/>
      <c r="D9" s="751" t="s">
        <v>236</v>
      </c>
      <c r="E9" s="751"/>
      <c r="F9" s="751"/>
      <c r="G9" s="751"/>
      <c r="H9" s="751"/>
      <c r="I9" s="2"/>
    </row>
    <row r="10" spans="1:21" ht="15" x14ac:dyDescent="0.2">
      <c r="A10" s="2"/>
      <c r="B10" s="2"/>
      <c r="C10" s="2"/>
      <c r="D10" s="743"/>
      <c r="E10" s="743"/>
      <c r="F10" s="743"/>
      <c r="G10" s="743"/>
      <c r="H10" s="743"/>
      <c r="I10" s="2"/>
    </row>
    <row r="11" spans="1:21" ht="15" x14ac:dyDescent="0.2">
      <c r="A11" s="753" t="s">
        <v>288</v>
      </c>
      <c r="B11" s="753"/>
      <c r="C11" s="753"/>
      <c r="D11" s="756"/>
      <c r="E11" s="756"/>
      <c r="F11" s="756"/>
      <c r="G11" s="756"/>
      <c r="H11" s="756"/>
      <c r="I11" s="2"/>
      <c r="Q11" s="4"/>
    </row>
    <row r="12" spans="1:21" ht="15" x14ac:dyDescent="0.2">
      <c r="A12" s="724"/>
      <c r="B12" s="724"/>
      <c r="C12" s="724"/>
      <c r="D12" s="2"/>
      <c r="E12" s="2"/>
      <c r="F12" s="2"/>
      <c r="G12" s="2"/>
      <c r="H12" s="2"/>
      <c r="I12" s="2"/>
      <c r="Q12" s="4"/>
    </row>
    <row r="13" spans="1:21" ht="15" x14ac:dyDescent="0.2">
      <c r="A13" s="753" t="s">
        <v>257</v>
      </c>
      <c r="B13" s="753"/>
      <c r="C13" s="753"/>
      <c r="D13" s="757"/>
      <c r="E13" s="757"/>
      <c r="F13" s="757"/>
      <c r="G13" s="757"/>
      <c r="H13" s="757"/>
      <c r="I13" s="2"/>
      <c r="Q13" s="4"/>
    </row>
    <row r="14" spans="1:21" ht="15" x14ac:dyDescent="0.2">
      <c r="A14" s="753" t="s">
        <v>258</v>
      </c>
      <c r="B14" s="753"/>
      <c r="C14" s="753"/>
      <c r="D14" s="754"/>
      <c r="E14" s="754"/>
      <c r="F14" s="754"/>
      <c r="G14" s="754"/>
      <c r="H14" s="754"/>
      <c r="I14" s="2"/>
      <c r="Q14" s="4"/>
    </row>
    <row r="15" spans="1:21" ht="15" x14ac:dyDescent="0.2">
      <c r="A15" s="724"/>
      <c r="B15" s="724"/>
      <c r="C15" s="724" t="s">
        <v>256</v>
      </c>
      <c r="D15" s="754"/>
      <c r="E15" s="754"/>
      <c r="F15" s="754"/>
      <c r="G15" s="754"/>
      <c r="H15" s="754"/>
      <c r="I15" s="2"/>
      <c r="Q15" s="4"/>
    </row>
    <row r="16" spans="1:21" ht="15" x14ac:dyDescent="0.2">
      <c r="A16" s="753" t="s">
        <v>3</v>
      </c>
      <c r="B16" s="753"/>
      <c r="C16" s="753"/>
      <c r="D16" s="754"/>
      <c r="E16" s="754"/>
      <c r="F16" s="754"/>
      <c r="G16" s="754"/>
      <c r="H16" s="754"/>
      <c r="I16" s="2"/>
      <c r="Q16" s="4"/>
    </row>
    <row r="17" spans="1:17" ht="15" x14ac:dyDescent="0.2">
      <c r="A17" s="724"/>
      <c r="B17" s="724"/>
      <c r="C17" s="724"/>
      <c r="D17" s="745"/>
      <c r="E17" s="745"/>
      <c r="F17" s="745"/>
      <c r="G17" s="745"/>
      <c r="H17" s="745"/>
      <c r="I17" s="2"/>
    </row>
    <row r="18" spans="1:17" ht="15" x14ac:dyDescent="0.2">
      <c r="A18" s="753" t="s">
        <v>4</v>
      </c>
      <c r="B18" s="753"/>
      <c r="C18" s="753"/>
      <c r="D18" s="755"/>
      <c r="E18" s="755"/>
      <c r="F18" s="755"/>
      <c r="G18" s="755"/>
      <c r="H18" s="755"/>
      <c r="I18" s="2"/>
      <c r="Q18" s="4"/>
    </row>
    <row r="19" spans="1:17" ht="15" x14ac:dyDescent="0.2">
      <c r="A19" s="753" t="s">
        <v>56</v>
      </c>
      <c r="B19" s="753"/>
      <c r="C19" s="753"/>
      <c r="D19" s="754"/>
      <c r="E19" s="754"/>
      <c r="F19" s="754"/>
      <c r="G19" s="754"/>
      <c r="H19" s="754"/>
      <c r="I19" s="2"/>
    </row>
    <row r="20" spans="1:17" ht="15" x14ac:dyDescent="0.2">
      <c r="A20" s="739"/>
      <c r="B20" s="739"/>
      <c r="C20" s="739"/>
      <c r="D20" s="620"/>
      <c r="E20" s="3"/>
      <c r="F20" s="3"/>
      <c r="G20" s="3"/>
      <c r="H20" s="3"/>
      <c r="I20" s="2"/>
    </row>
    <row r="21" spans="1:17" ht="15.75" x14ac:dyDescent="0.25">
      <c r="A21" s="739"/>
      <c r="B21" s="746" t="s">
        <v>318</v>
      </c>
      <c r="C21" s="739"/>
    </row>
    <row r="22" spans="1:17" ht="15" x14ac:dyDescent="0.2">
      <c r="A22" s="753" t="s">
        <v>61</v>
      </c>
      <c r="B22" s="753"/>
      <c r="C22" s="753"/>
      <c r="D22" s="757"/>
      <c r="E22" s="757"/>
      <c r="F22" s="757"/>
      <c r="G22" s="757"/>
      <c r="H22" s="757"/>
    </row>
    <row r="23" spans="1:17" ht="15" x14ac:dyDescent="0.2">
      <c r="A23" s="753" t="s">
        <v>62</v>
      </c>
      <c r="B23" s="753"/>
      <c r="C23" s="753"/>
      <c r="D23" s="754"/>
      <c r="E23" s="754"/>
      <c r="F23" s="754"/>
      <c r="G23" s="754"/>
      <c r="H23" s="754"/>
    </row>
    <row r="24" spans="1:17" ht="15" x14ac:dyDescent="0.2">
      <c r="A24" s="753" t="s">
        <v>241</v>
      </c>
      <c r="B24" s="753"/>
      <c r="C24" s="753"/>
      <c r="D24" s="762" t="e">
        <f>VLOOKUP(D23,'List Data'!A2:B6,2,FALSE)</f>
        <v>#N/A</v>
      </c>
      <c r="E24" s="762"/>
      <c r="F24" s="762"/>
      <c r="G24" s="762"/>
      <c r="H24" s="762"/>
    </row>
    <row r="25" spans="1:17" ht="15" x14ac:dyDescent="0.2">
      <c r="A25" s="724"/>
      <c r="B25" s="724"/>
      <c r="C25" s="724"/>
      <c r="D25" s="3"/>
      <c r="E25" s="3"/>
      <c r="F25" s="3"/>
      <c r="G25" s="3"/>
      <c r="H25" s="3"/>
    </row>
    <row r="26" spans="1:17" ht="18" x14ac:dyDescent="0.25">
      <c r="A26" s="753" t="s">
        <v>41</v>
      </c>
      <c r="B26" s="763"/>
      <c r="C26" s="763"/>
      <c r="D26" s="757"/>
      <c r="E26" s="757"/>
      <c r="F26" s="757"/>
      <c r="G26" s="757"/>
      <c r="H26" s="757"/>
    </row>
    <row r="27" spans="1:17" ht="15" x14ac:dyDescent="0.2">
      <c r="A27" s="753" t="s">
        <v>40</v>
      </c>
      <c r="B27" s="753"/>
      <c r="C27" s="753"/>
      <c r="D27" s="758"/>
      <c r="E27" s="758"/>
      <c r="F27" s="758"/>
      <c r="G27" s="758"/>
      <c r="H27" s="758"/>
    </row>
    <row r="28" spans="1:17" ht="15" x14ac:dyDescent="0.2">
      <c r="A28" s="753" t="s">
        <v>42</v>
      </c>
      <c r="B28" s="753"/>
      <c r="C28" s="753"/>
      <c r="D28" s="759"/>
      <c r="E28" s="759"/>
      <c r="F28" s="759"/>
      <c r="G28" s="759"/>
      <c r="H28" s="759"/>
    </row>
    <row r="30" spans="1:17" ht="15" x14ac:dyDescent="0.2">
      <c r="A30" s="724"/>
      <c r="B30" s="724"/>
      <c r="C30" s="724" t="s">
        <v>313</v>
      </c>
      <c r="D30" s="760"/>
      <c r="E30" s="760"/>
      <c r="F30" s="2"/>
      <c r="G30" s="2"/>
      <c r="H30" s="2"/>
    </row>
    <row r="31" spans="1:17" ht="15" x14ac:dyDescent="0.2">
      <c r="A31" s="739"/>
      <c r="B31" s="739"/>
      <c r="C31" s="739"/>
      <c r="I31" s="2"/>
    </row>
    <row r="32" spans="1:17" ht="15" customHeight="1" x14ac:dyDescent="0.25">
      <c r="A32" s="739"/>
      <c r="B32" s="746" t="s">
        <v>317</v>
      </c>
      <c r="C32" s="739"/>
      <c r="I32" s="2"/>
    </row>
    <row r="33" spans="1:10" ht="18" x14ac:dyDescent="0.25">
      <c r="A33" s="753" t="s">
        <v>41</v>
      </c>
      <c r="B33" s="763"/>
      <c r="C33" s="763"/>
      <c r="D33" s="757"/>
      <c r="E33" s="757"/>
      <c r="F33" s="757"/>
      <c r="G33" s="757"/>
      <c r="H33" s="757"/>
    </row>
    <row r="34" spans="1:10" ht="15" x14ac:dyDescent="0.2">
      <c r="A34" s="753" t="s">
        <v>40</v>
      </c>
      <c r="B34" s="753"/>
      <c r="C34" s="753"/>
      <c r="D34" s="758"/>
      <c r="E34" s="758"/>
      <c r="F34" s="758"/>
      <c r="G34" s="758"/>
      <c r="H34" s="758"/>
    </row>
    <row r="35" spans="1:10" ht="15" x14ac:dyDescent="0.2">
      <c r="A35" s="753" t="s">
        <v>42</v>
      </c>
      <c r="B35" s="753"/>
      <c r="C35" s="753"/>
      <c r="D35" s="759"/>
      <c r="E35" s="759"/>
      <c r="F35" s="759"/>
      <c r="G35" s="759"/>
      <c r="H35" s="759"/>
    </row>
    <row r="36" spans="1:10" ht="15" x14ac:dyDescent="0.2">
      <c r="A36" s="724"/>
      <c r="B36" s="724"/>
      <c r="C36" s="724"/>
      <c r="D36" s="2"/>
      <c r="E36" s="3"/>
      <c r="F36" s="3"/>
      <c r="G36" s="3"/>
      <c r="H36" s="3"/>
    </row>
    <row r="37" spans="1:10" ht="15" x14ac:dyDescent="0.2">
      <c r="A37" s="753" t="s">
        <v>312</v>
      </c>
      <c r="B37" s="753"/>
      <c r="C37" s="753"/>
      <c r="D37" s="761"/>
      <c r="E37" s="761"/>
      <c r="F37" s="761"/>
      <c r="G37" s="2"/>
      <c r="H37" s="2"/>
      <c r="I37" s="2"/>
    </row>
    <row r="39" spans="1:10" ht="15.75" x14ac:dyDescent="0.25">
      <c r="A39" s="749"/>
      <c r="B39" s="747" t="s">
        <v>324</v>
      </c>
      <c r="C39" s="734"/>
      <c r="D39" s="748"/>
      <c r="E39" s="734"/>
      <c r="F39" s="734"/>
      <c r="G39" s="734"/>
      <c r="H39" s="734"/>
      <c r="I39" s="734"/>
    </row>
    <row r="40" spans="1:10" ht="15" x14ac:dyDescent="0.2">
      <c r="A40" s="748"/>
      <c r="B40" s="747" t="s">
        <v>325</v>
      </c>
      <c r="C40" s="748"/>
      <c r="D40" s="734"/>
      <c r="E40" s="748"/>
      <c r="F40" s="748"/>
      <c r="G40" s="748"/>
      <c r="H40" s="748"/>
      <c r="I40" s="748"/>
    </row>
    <row r="41" spans="1:10" ht="15" x14ac:dyDescent="0.2">
      <c r="A41" s="748"/>
      <c r="B41" s="747" t="s">
        <v>326</v>
      </c>
      <c r="C41" s="734"/>
      <c r="D41" s="734"/>
      <c r="E41" s="734"/>
      <c r="F41" s="734"/>
      <c r="G41" s="734"/>
      <c r="H41" s="734"/>
      <c r="I41" s="734"/>
    </row>
    <row r="42" spans="1:10" ht="15" x14ac:dyDescent="0.2">
      <c r="A42" s="2"/>
      <c r="B42" s="2"/>
      <c r="C42" s="2"/>
      <c r="D42" s="2"/>
      <c r="E42" s="2"/>
      <c r="F42" s="2"/>
      <c r="G42" s="2"/>
      <c r="H42" s="2"/>
      <c r="I42" s="2"/>
    </row>
    <row r="43" spans="1:10" ht="15" x14ac:dyDescent="0.2">
      <c r="A43" s="2"/>
      <c r="C43" s="2"/>
      <c r="D43" s="2"/>
      <c r="E43" s="2"/>
      <c r="F43" s="2"/>
      <c r="G43" s="2"/>
      <c r="H43" s="2"/>
      <c r="I43" s="2"/>
      <c r="J43" s="2"/>
    </row>
    <row r="44" spans="1:10" ht="15" x14ac:dyDescent="0.2">
      <c r="A44" s="2"/>
      <c r="B44" s="3"/>
      <c r="C44" s="2"/>
      <c r="D44" s="2"/>
      <c r="E44" s="2"/>
      <c r="F44" s="2"/>
      <c r="G44" s="2"/>
      <c r="H44" s="2"/>
      <c r="I44" s="2"/>
      <c r="J44" s="2"/>
    </row>
    <row r="45" spans="1:10" ht="15" x14ac:dyDescent="0.2">
      <c r="A45" s="2"/>
      <c r="B45" s="2" t="s">
        <v>327</v>
      </c>
      <c r="C45" s="2"/>
      <c r="D45" s="2"/>
      <c r="E45" s="2"/>
      <c r="F45" s="2"/>
      <c r="G45" s="2"/>
      <c r="H45" s="2"/>
      <c r="I45" s="2"/>
      <c r="J45" s="2"/>
    </row>
    <row r="46" spans="1:10" ht="15" x14ac:dyDescent="0.2">
      <c r="A46" s="2"/>
      <c r="B46" s="3"/>
      <c r="C46" s="2"/>
      <c r="D46" s="2"/>
      <c r="E46" s="2"/>
      <c r="F46" s="2"/>
      <c r="G46" s="2"/>
      <c r="H46" s="2"/>
      <c r="I46" s="2"/>
      <c r="J46" s="2"/>
    </row>
    <row r="47" spans="1:10" ht="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5" x14ac:dyDescent="0.2">
      <c r="A48" s="2"/>
      <c r="B48" s="2"/>
      <c r="C48" s="2"/>
      <c r="D48" s="2"/>
      <c r="E48" s="2"/>
      <c r="F48" s="2"/>
      <c r="G48" s="2"/>
      <c r="H48" s="600"/>
      <c r="I48" s="7"/>
      <c r="J48" s="2"/>
    </row>
    <row r="49" spans="1:10" ht="15" x14ac:dyDescent="0.2">
      <c r="A49" s="2"/>
      <c r="B49" s="2"/>
      <c r="C49" s="2"/>
      <c r="D49" s="2"/>
      <c r="E49" s="2"/>
      <c r="F49" s="2"/>
      <c r="G49" s="2"/>
      <c r="H49" s="600"/>
      <c r="I49" s="7"/>
      <c r="J49" s="2"/>
    </row>
    <row r="50" spans="1:10" ht="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5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10" ht="15" x14ac:dyDescent="0.2">
      <c r="A55" s="2"/>
      <c r="B55" s="2"/>
      <c r="C55" s="2"/>
      <c r="E55" s="2"/>
      <c r="F55" s="2"/>
      <c r="G55" s="2"/>
      <c r="H55" s="2"/>
      <c r="I55" s="2"/>
    </row>
  </sheetData>
  <sheetProtection algorithmName="SHA-512" hashValue="VBt4rDqgt1vMNlfY5Rd3ZaHEDkoJu7Bht6n/Ulpszidy2VjyXhUBZdyU542wTCWJc6hMsb22J+YGJKYX4ty97w==" saltValue="sIupfyXAOgBQjXlPNnFRnw==" spinCount="100000" sheet="1" selectLockedCells="1"/>
  <mergeCells count="42">
    <mergeCell ref="A37:C37"/>
    <mergeCell ref="D37:F37"/>
    <mergeCell ref="A22:C22"/>
    <mergeCell ref="D22:H22"/>
    <mergeCell ref="A23:C23"/>
    <mergeCell ref="D23:H23"/>
    <mergeCell ref="A24:C24"/>
    <mergeCell ref="D24:H24"/>
    <mergeCell ref="A26:C26"/>
    <mergeCell ref="D26:H26"/>
    <mergeCell ref="A27:C27"/>
    <mergeCell ref="D27:H27"/>
    <mergeCell ref="A28:C28"/>
    <mergeCell ref="A33:C33"/>
    <mergeCell ref="D33:H33"/>
    <mergeCell ref="A34:C34"/>
    <mergeCell ref="D34:H34"/>
    <mergeCell ref="D28:H28"/>
    <mergeCell ref="A35:C35"/>
    <mergeCell ref="D35:H35"/>
    <mergeCell ref="D30:E30"/>
    <mergeCell ref="A19:C19"/>
    <mergeCell ref="D19:H19"/>
    <mergeCell ref="A18:C18"/>
    <mergeCell ref="D18:H18"/>
    <mergeCell ref="D8:H8"/>
    <mergeCell ref="D9:H9"/>
    <mergeCell ref="A11:C11"/>
    <mergeCell ref="D11:H11"/>
    <mergeCell ref="A13:C13"/>
    <mergeCell ref="D13:H13"/>
    <mergeCell ref="A14:C14"/>
    <mergeCell ref="D14:H14"/>
    <mergeCell ref="D15:H15"/>
    <mergeCell ref="A16:C16"/>
    <mergeCell ref="D16:H16"/>
    <mergeCell ref="D7:H7"/>
    <mergeCell ref="B3:C3"/>
    <mergeCell ref="D3:H3"/>
    <mergeCell ref="D4:H4"/>
    <mergeCell ref="D5:H5"/>
    <mergeCell ref="D6:H6"/>
  </mergeCells>
  <printOptions horizontalCentered="1"/>
  <pageMargins left="0.25" right="0.25" top="0.75" bottom="0.75" header="0.3" footer="0.3"/>
  <pageSetup scale="97" orientation="portrait" blackAndWhite="1" r:id="rId1"/>
  <headerFooter>
    <oddHeader>&amp;L&amp;G
MDT-MAT-008             05/25&amp;C&amp;"Arial,Bold"&amp;14Concrete Mix Design
Transfer Form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0</xdr:col>
                    <xdr:colOff>609600</xdr:colOff>
                    <xdr:row>37</xdr:row>
                    <xdr:rowOff>95250</xdr:rowOff>
                  </from>
                  <to>
                    <xdr:col>0</xdr:col>
                    <xdr:colOff>876300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D682D78-A99A-469A-96CC-3056EEE3F7A4}">
          <x14:formula1>
            <xm:f>'List Data'!$A$2:$A$6</xm:f>
          </x14:formula1>
          <xm:sqref>D23:H23</xm:sqref>
        </x14:dataValidation>
        <x14:dataValidation type="list" allowBlank="1" showInputMessage="1" showErrorMessage="1" prompt="Select Concrete Class from list" xr:uid="{51C2230F-3D93-4962-8A32-24FF3DC204A3}">
          <x14:formula1>
            <xm:f>'List Data'!$C$2:$C$19</xm:f>
          </x14:formula1>
          <xm:sqref>D11:H11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R110"/>
  <sheetViews>
    <sheetView zoomScaleNormal="100" zoomScaleSheetLayoutView="100" workbookViewId="0">
      <selection activeCell="H18" sqref="H18:I18"/>
    </sheetView>
  </sheetViews>
  <sheetFormatPr defaultRowHeight="12.75" x14ac:dyDescent="0.2"/>
  <cols>
    <col min="1" max="2" width="10.7109375" customWidth="1"/>
    <col min="5" max="5" width="9.7109375" customWidth="1"/>
    <col min="7" max="7" width="10.42578125" customWidth="1"/>
    <col min="11" max="11" width="8.85546875" customWidth="1"/>
    <col min="16" max="16" width="10.28515625" customWidth="1"/>
  </cols>
  <sheetData>
    <row r="1" spans="1:18" ht="24" customHeight="1" x14ac:dyDescent="0.25">
      <c r="A1" s="919" t="s">
        <v>186</v>
      </c>
      <c r="B1" s="919"/>
      <c r="C1" s="919"/>
      <c r="D1" s="919"/>
      <c r="E1" s="919"/>
      <c r="F1" s="919"/>
      <c r="G1" s="919"/>
      <c r="H1" s="919"/>
      <c r="I1" s="919"/>
      <c r="J1" s="648"/>
      <c r="K1" s="648"/>
      <c r="L1" s="648"/>
      <c r="M1" s="624"/>
      <c r="N1" s="624"/>
      <c r="O1" s="624"/>
      <c r="P1" s="624"/>
      <c r="Q1" s="624"/>
      <c r="R1" s="624"/>
    </row>
    <row r="2" spans="1:18" ht="12.75" customHeight="1" x14ac:dyDescent="0.25">
      <c r="A2" s="730"/>
      <c r="B2" s="730"/>
      <c r="C2" s="730"/>
    </row>
    <row r="3" spans="1:18" ht="18" x14ac:dyDescent="0.25">
      <c r="A3" s="911" t="s">
        <v>190</v>
      </c>
      <c r="B3" s="911"/>
      <c r="C3" s="911"/>
      <c r="D3" s="910" t="str">
        <f>IF(ISBLANK('Contractor Mix Design'!D30),"",'Contractor Mix Design'!D30)</f>
        <v/>
      </c>
      <c r="E3" s="910"/>
      <c r="F3" s="910"/>
      <c r="G3" s="910"/>
      <c r="H3" s="910"/>
      <c r="I3" s="910"/>
      <c r="J3" s="625"/>
      <c r="K3" s="625"/>
      <c r="L3" s="626"/>
      <c r="M3" s="626"/>
      <c r="N3" s="626"/>
      <c r="O3" s="626"/>
      <c r="P3" s="626"/>
      <c r="Q3" s="626"/>
      <c r="R3" s="626"/>
    </row>
    <row r="4" spans="1:18" ht="18" x14ac:dyDescent="0.25">
      <c r="A4" s="625"/>
      <c r="B4" s="625"/>
      <c r="C4" s="731"/>
      <c r="D4" s="731"/>
      <c r="E4" s="731"/>
      <c r="F4" s="731"/>
      <c r="G4" s="731"/>
      <c r="H4" s="731"/>
      <c r="I4" s="731"/>
      <c r="J4" s="625"/>
      <c r="K4" s="625"/>
      <c r="L4" s="626"/>
      <c r="M4" s="626"/>
      <c r="N4" s="626"/>
      <c r="O4" s="626"/>
      <c r="P4" s="626"/>
      <c r="Q4" s="626"/>
      <c r="R4" s="626"/>
    </row>
    <row r="5" spans="1:18" ht="15" thickBot="1" x14ac:dyDescent="0.25">
      <c r="B5" s="920" t="s">
        <v>300</v>
      </c>
      <c r="C5" s="920"/>
      <c r="D5" s="920"/>
      <c r="E5" s="920"/>
      <c r="F5" s="920"/>
      <c r="G5" s="920"/>
      <c r="H5" s="920"/>
      <c r="I5" s="920"/>
      <c r="J5" s="569"/>
      <c r="K5" s="569"/>
      <c r="L5" s="570"/>
      <c r="M5" s="570"/>
      <c r="N5" s="570"/>
      <c r="O5" s="570"/>
      <c r="P5" s="570"/>
      <c r="Q5" s="570"/>
      <c r="R5" s="570"/>
    </row>
    <row r="6" spans="1:18" ht="15.75" thickBot="1" x14ac:dyDescent="0.3">
      <c r="A6" s="571" t="s">
        <v>192</v>
      </c>
      <c r="B6" s="930" t="s">
        <v>187</v>
      </c>
      <c r="C6" s="931"/>
      <c r="D6" s="930" t="s">
        <v>188</v>
      </c>
      <c r="E6" s="931"/>
      <c r="F6" s="930" t="s">
        <v>189</v>
      </c>
      <c r="G6" s="931"/>
      <c r="H6" s="930" t="s">
        <v>309</v>
      </c>
      <c r="I6" s="931"/>
      <c r="M6" s="572"/>
      <c r="N6" s="570"/>
      <c r="O6" s="572"/>
      <c r="P6" s="570"/>
      <c r="Q6" s="572"/>
      <c r="R6" s="570"/>
    </row>
    <row r="7" spans="1:18" ht="13.5" thickBot="1" x14ac:dyDescent="0.25">
      <c r="A7">
        <v>1</v>
      </c>
      <c r="B7" s="908"/>
      <c r="C7" s="909"/>
      <c r="D7" s="908"/>
      <c r="E7" s="909"/>
      <c r="F7" s="908"/>
      <c r="G7" s="909"/>
      <c r="H7" s="908"/>
      <c r="I7" s="909"/>
      <c r="M7" s="570"/>
      <c r="N7" s="570"/>
      <c r="O7" s="570"/>
      <c r="P7" s="570"/>
      <c r="Q7" s="570"/>
      <c r="R7" s="570"/>
    </row>
    <row r="8" spans="1:18" ht="13.5" thickBot="1" x14ac:dyDescent="0.25">
      <c r="A8">
        <v>2</v>
      </c>
      <c r="B8" s="908"/>
      <c r="C8" s="909"/>
      <c r="D8" s="908"/>
      <c r="E8" s="909"/>
      <c r="F8" s="908"/>
      <c r="G8" s="909"/>
      <c r="H8" s="908"/>
      <c r="I8" s="909"/>
      <c r="M8" s="570"/>
      <c r="N8" s="570"/>
      <c r="O8" s="570"/>
      <c r="P8" s="570"/>
      <c r="Q8" s="570"/>
      <c r="R8" s="570"/>
    </row>
    <row r="9" spans="1:18" ht="13.5" thickBot="1" x14ac:dyDescent="0.25">
      <c r="A9">
        <v>3</v>
      </c>
      <c r="B9" s="908"/>
      <c r="C9" s="909"/>
      <c r="D9" s="908"/>
      <c r="E9" s="909"/>
      <c r="F9" s="908"/>
      <c r="G9" s="909"/>
      <c r="H9" s="908"/>
      <c r="I9" s="909"/>
      <c r="M9" s="570"/>
      <c r="N9" s="570"/>
      <c r="O9" s="570"/>
      <c r="P9" s="570"/>
      <c r="Q9" s="570"/>
      <c r="R9" s="570"/>
    </row>
    <row r="10" spans="1:18" ht="13.5" thickBot="1" x14ac:dyDescent="0.25">
      <c r="A10" s="571" t="s">
        <v>191</v>
      </c>
      <c r="B10" s="921" t="str">
        <f>IF(ISBLANK(B7),"0",AVERAGE(B7:C9))</f>
        <v>0</v>
      </c>
      <c r="C10" s="922"/>
      <c r="D10" s="921" t="str">
        <f>IF(ISBLANK(D7),"0",AVERAGE(D7:D9))</f>
        <v>0</v>
      </c>
      <c r="E10" s="922"/>
      <c r="F10" s="921" t="str">
        <f>IF(ISBLANK(F7),"0",AVERAGE(F7:F9))</f>
        <v>0</v>
      </c>
      <c r="G10" s="922"/>
      <c r="H10" s="921" t="str">
        <f>IF(ISBLANK(H7),"0",AVERAGE(H7:H9))</f>
        <v>0</v>
      </c>
      <c r="I10" s="922"/>
      <c r="L10" s="571"/>
      <c r="M10" s="573"/>
      <c r="N10" s="573"/>
      <c r="O10" s="573"/>
      <c r="P10" s="573"/>
      <c r="Q10" s="573"/>
      <c r="R10" s="573"/>
    </row>
    <row r="11" spans="1:18" x14ac:dyDescent="0.2">
      <c r="A11" s="571"/>
      <c r="B11" s="733" t="s">
        <v>311</v>
      </c>
      <c r="C11" s="732"/>
      <c r="D11" s="732"/>
      <c r="E11" s="732"/>
      <c r="F11" s="732"/>
      <c r="G11" s="732"/>
      <c r="H11" s="732"/>
      <c r="I11" s="732"/>
      <c r="L11" s="571"/>
      <c r="M11" s="573"/>
      <c r="N11" s="573"/>
      <c r="O11" s="573"/>
      <c r="P11" s="573"/>
      <c r="Q11" s="573"/>
      <c r="R11" s="573"/>
    </row>
    <row r="12" spans="1:18" ht="13.5" thickBot="1" x14ac:dyDescent="0.25">
      <c r="C12" s="571"/>
      <c r="D12" s="573"/>
      <c r="E12" s="573"/>
      <c r="F12" s="573"/>
      <c r="G12" s="573"/>
      <c r="H12" s="573"/>
      <c r="I12" s="573"/>
      <c r="L12" s="571"/>
      <c r="M12" s="573"/>
      <c r="N12" s="573"/>
      <c r="O12" s="573"/>
      <c r="P12" s="573"/>
      <c r="Q12" s="573"/>
      <c r="R12" s="573"/>
    </row>
    <row r="13" spans="1:18" ht="13.5" thickBot="1" x14ac:dyDescent="0.25">
      <c r="C13" s="571"/>
      <c r="D13" s="932" t="s">
        <v>189</v>
      </c>
      <c r="E13" s="933"/>
      <c r="F13" s="573"/>
      <c r="G13" s="573"/>
      <c r="H13" s="573"/>
      <c r="I13" s="573"/>
      <c r="L13" s="571"/>
      <c r="M13" s="627"/>
      <c r="N13" s="573"/>
      <c r="O13" s="573"/>
      <c r="P13" s="573"/>
      <c r="Q13" s="573"/>
      <c r="R13" s="573"/>
    </row>
    <row r="14" spans="1:18" ht="13.5" thickBot="1" x14ac:dyDescent="0.25">
      <c r="A14" s="912" t="s">
        <v>301</v>
      </c>
      <c r="B14" s="912"/>
      <c r="C14" s="574">
        <v>1</v>
      </c>
      <c r="D14" s="908"/>
      <c r="E14" s="909"/>
      <c r="F14" s="570"/>
      <c r="G14" s="570"/>
      <c r="H14" s="570"/>
      <c r="I14" s="570"/>
      <c r="J14" s="1"/>
      <c r="M14" s="570"/>
      <c r="N14" s="570"/>
      <c r="O14" s="570"/>
      <c r="P14" s="570"/>
      <c r="Q14" s="570"/>
      <c r="R14" s="570"/>
    </row>
    <row r="15" spans="1:18" ht="13.5" thickBot="1" x14ac:dyDescent="0.25">
      <c r="A15" s="912" t="s">
        <v>291</v>
      </c>
      <c r="B15" s="912"/>
      <c r="C15" s="574">
        <v>2</v>
      </c>
      <c r="D15" s="908"/>
      <c r="E15" s="909"/>
      <c r="F15" s="570"/>
      <c r="G15" s="570"/>
      <c r="H15" s="570"/>
      <c r="I15" s="570"/>
      <c r="J15" s="1"/>
      <c r="M15" s="570"/>
      <c r="N15" s="570"/>
      <c r="O15" s="570"/>
      <c r="P15" s="570"/>
      <c r="Q15" s="570"/>
      <c r="R15" s="570"/>
    </row>
    <row r="16" spans="1:18" ht="13.5" thickBot="1" x14ac:dyDescent="0.25">
      <c r="A16" s="1"/>
      <c r="B16" s="572" t="s">
        <v>292</v>
      </c>
      <c r="C16" s="571" t="s">
        <v>194</v>
      </c>
      <c r="D16" s="917" t="str">
        <f>IF(ISBLANK(D14),"0",AVERAGE(D14:E15))</f>
        <v>0</v>
      </c>
      <c r="E16" s="918"/>
      <c r="F16" s="570"/>
      <c r="G16" s="570"/>
      <c r="H16" s="570"/>
      <c r="I16" s="570"/>
      <c r="J16" s="1"/>
      <c r="M16" s="570"/>
      <c r="N16" s="570"/>
      <c r="O16" s="570"/>
      <c r="P16" s="570"/>
      <c r="Q16" s="570"/>
      <c r="R16" s="570"/>
    </row>
    <row r="17" spans="1:18" ht="13.5" thickBot="1" x14ac:dyDescent="0.25">
      <c r="A17" s="1"/>
      <c r="B17" s="572"/>
      <c r="D17" s="570"/>
      <c r="E17" s="570"/>
      <c r="F17" s="570"/>
      <c r="G17" s="570"/>
      <c r="H17" s="920" t="s">
        <v>217</v>
      </c>
      <c r="I17" s="920"/>
      <c r="J17" s="1"/>
      <c r="M17" s="570"/>
      <c r="N17" s="570"/>
      <c r="O17" s="570"/>
      <c r="P17" s="570"/>
      <c r="Q17" s="570"/>
      <c r="R17" s="570"/>
    </row>
    <row r="18" spans="1:18" x14ac:dyDescent="0.2">
      <c r="A18" s="913" t="s">
        <v>302</v>
      </c>
      <c r="B18" s="913"/>
      <c r="C18" s="926"/>
      <c r="D18" s="927"/>
      <c r="F18" s="4"/>
      <c r="G18" s="571" t="s">
        <v>350</v>
      </c>
      <c r="H18" s="936"/>
      <c r="I18" s="937"/>
      <c r="J18" s="1"/>
      <c r="K18" s="1"/>
      <c r="L18" s="628"/>
      <c r="M18" s="628"/>
      <c r="O18" s="1"/>
      <c r="P18" s="1"/>
      <c r="Q18" s="628"/>
      <c r="R18" s="628"/>
    </row>
    <row r="19" spans="1:18" x14ac:dyDescent="0.2">
      <c r="A19" s="913" t="s">
        <v>303</v>
      </c>
      <c r="B19" s="914"/>
      <c r="C19" s="915"/>
      <c r="D19" s="916"/>
      <c r="G19" s="631" t="s">
        <v>305</v>
      </c>
      <c r="H19" s="940"/>
      <c r="I19" s="941"/>
      <c r="J19" s="1"/>
      <c r="K19" s="570"/>
      <c r="L19" s="628"/>
      <c r="M19" s="628"/>
      <c r="O19" s="1"/>
      <c r="P19" s="1"/>
      <c r="Q19" s="628"/>
      <c r="R19" s="628"/>
    </row>
    <row r="20" spans="1:18" x14ac:dyDescent="0.2">
      <c r="A20" s="913" t="s">
        <v>304</v>
      </c>
      <c r="B20" s="913"/>
      <c r="C20" s="928"/>
      <c r="D20" s="929"/>
      <c r="G20" s="631" t="s">
        <v>306</v>
      </c>
      <c r="H20" s="940"/>
      <c r="I20" s="941"/>
      <c r="J20" s="1"/>
      <c r="K20" s="1"/>
      <c r="L20" s="629"/>
      <c r="M20" s="629"/>
      <c r="O20" s="1"/>
      <c r="P20" s="1"/>
      <c r="Q20" s="629"/>
      <c r="R20" s="629"/>
    </row>
    <row r="21" spans="1:18" ht="15" thickBot="1" x14ac:dyDescent="0.25">
      <c r="A21" s="913" t="s">
        <v>348</v>
      </c>
      <c r="B21" s="913"/>
      <c r="C21" s="924"/>
      <c r="D21" s="925"/>
      <c r="G21" s="631" t="s">
        <v>307</v>
      </c>
      <c r="H21" s="938"/>
      <c r="I21" s="939"/>
      <c r="J21" s="1"/>
      <c r="K21" s="1"/>
      <c r="L21" s="628"/>
      <c r="M21" s="628"/>
    </row>
    <row r="22" spans="1:18" ht="15" thickBot="1" x14ac:dyDescent="0.25">
      <c r="A22" s="923" t="s">
        <v>347</v>
      </c>
      <c r="B22" s="914"/>
      <c r="C22" s="934"/>
      <c r="D22" s="935"/>
      <c r="J22" s="572"/>
      <c r="K22" s="570"/>
      <c r="L22" s="630"/>
      <c r="M22" s="630"/>
    </row>
    <row r="24" spans="1:18" x14ac:dyDescent="0.2">
      <c r="A24" s="598" t="s">
        <v>332</v>
      </c>
      <c r="B24" s="599"/>
      <c r="C24" s="599"/>
      <c r="D24" s="599"/>
      <c r="E24" s="599"/>
      <c r="F24" s="599"/>
      <c r="G24" s="599"/>
      <c r="H24" s="598"/>
      <c r="I24" s="599"/>
    </row>
    <row r="25" spans="1:18" x14ac:dyDescent="0.2">
      <c r="A25" s="912" t="s">
        <v>308</v>
      </c>
      <c r="B25" s="912"/>
      <c r="C25" s="912"/>
      <c r="D25" s="912"/>
      <c r="F25" s="912" t="s">
        <v>252</v>
      </c>
      <c r="G25" s="912"/>
      <c r="H25" s="912"/>
      <c r="I25" s="912"/>
      <c r="J25" s="1"/>
      <c r="K25" s="1"/>
    </row>
    <row r="26" spans="1:18" x14ac:dyDescent="0.2">
      <c r="A26" s="912" t="s">
        <v>330</v>
      </c>
      <c r="B26" s="912"/>
      <c r="C26" s="912"/>
      <c r="D26" s="912"/>
      <c r="F26" s="912" t="s">
        <v>331</v>
      </c>
      <c r="G26" s="912"/>
      <c r="H26" s="912"/>
      <c r="I26" s="912"/>
      <c r="J26" s="1"/>
      <c r="K26" s="1"/>
    </row>
    <row r="27" spans="1:18" ht="13.5" thickBot="1" x14ac:dyDescent="0.25">
      <c r="A27" s="1"/>
      <c r="B27" s="1"/>
      <c r="C27" s="570"/>
      <c r="D27" s="570"/>
      <c r="L27" s="570"/>
      <c r="M27" s="570"/>
      <c r="P27" s="1"/>
      <c r="Q27" s="570"/>
      <c r="R27" s="570"/>
    </row>
    <row r="28" spans="1:18" ht="13.5" thickBot="1" x14ac:dyDescent="0.25">
      <c r="A28" s="571" t="s">
        <v>193</v>
      </c>
      <c r="B28" s="930" t="s">
        <v>189</v>
      </c>
      <c r="C28" s="931"/>
      <c r="E28" t="s">
        <v>266</v>
      </c>
      <c r="F28" s="930" t="s">
        <v>189</v>
      </c>
      <c r="G28" s="931"/>
      <c r="H28" s="930" t="s">
        <v>295</v>
      </c>
      <c r="I28" s="931"/>
      <c r="M28" s="572"/>
      <c r="N28" s="572"/>
      <c r="Q28" s="572"/>
      <c r="R28" s="570"/>
    </row>
    <row r="29" spans="1:18" ht="13.5" customHeight="1" thickBot="1" x14ac:dyDescent="0.25">
      <c r="A29">
        <v>1</v>
      </c>
      <c r="B29" s="908"/>
      <c r="C29" s="909"/>
      <c r="E29">
        <v>1</v>
      </c>
      <c r="F29" s="908"/>
      <c r="G29" s="909"/>
      <c r="H29" s="908"/>
      <c r="I29" s="909"/>
      <c r="M29" s="570"/>
      <c r="N29" s="570"/>
    </row>
    <row r="30" spans="1:18" ht="13.5" thickBot="1" x14ac:dyDescent="0.25">
      <c r="A30">
        <v>2</v>
      </c>
      <c r="B30" s="908"/>
      <c r="C30" s="909"/>
      <c r="E30">
        <v>2</v>
      </c>
      <c r="F30" s="908"/>
      <c r="G30" s="909"/>
      <c r="H30" s="908"/>
      <c r="I30" s="909"/>
      <c r="M30" s="570"/>
      <c r="N30" s="570"/>
    </row>
    <row r="31" spans="1:18" ht="13.5" thickBot="1" x14ac:dyDescent="0.25">
      <c r="A31">
        <v>3</v>
      </c>
      <c r="B31" s="908"/>
      <c r="C31" s="909"/>
      <c r="E31">
        <v>3</v>
      </c>
      <c r="F31" s="908"/>
      <c r="G31" s="909"/>
      <c r="H31" s="908"/>
      <c r="I31" s="909"/>
      <c r="M31" s="570"/>
      <c r="N31" s="570"/>
      <c r="Q31" s="570"/>
      <c r="R31" s="570"/>
    </row>
    <row r="32" spans="1:18" ht="13.5" thickBot="1" x14ac:dyDescent="0.25">
      <c r="A32" s="571" t="s">
        <v>194</v>
      </c>
      <c r="B32" s="917" t="str">
        <f>IF(ISBLANK(B29),"0",ROUND(AVERAGE(B29:C31),0))</f>
        <v>0</v>
      </c>
      <c r="C32" s="918"/>
      <c r="E32" s="4" t="s">
        <v>194</v>
      </c>
      <c r="F32" s="917" t="str">
        <f>IF(ISBLANK(F29),"0",ROUND(AVERAGE(F29:F31),1))</f>
        <v>0</v>
      </c>
      <c r="G32" s="918"/>
      <c r="H32" s="917" t="str">
        <f>IF(ISBLANK(H29),"0",ROUND(AVERAGE(H29:H31),1))</f>
        <v>0</v>
      </c>
      <c r="I32" s="918"/>
      <c r="L32" s="571"/>
      <c r="M32" s="570"/>
      <c r="N32" s="570"/>
      <c r="P32" s="571"/>
      <c r="Q32" s="570"/>
      <c r="R32" s="570"/>
    </row>
    <row r="33" spans="1:18" x14ac:dyDescent="0.2">
      <c r="F33" s="733" t="s">
        <v>311</v>
      </c>
    </row>
    <row r="34" spans="1:18" ht="13.9" customHeight="1" x14ac:dyDescent="0.25">
      <c r="B34" s="625"/>
      <c r="C34" s="626"/>
      <c r="D34" s="626"/>
      <c r="E34" s="626"/>
      <c r="F34" s="626"/>
      <c r="G34" s="626"/>
      <c r="H34" s="626"/>
      <c r="I34" s="626"/>
      <c r="J34" s="625"/>
      <c r="K34" s="625"/>
      <c r="L34" s="626"/>
      <c r="M34" s="626"/>
      <c r="N34" s="626"/>
      <c r="O34" s="626"/>
      <c r="P34" s="626"/>
      <c r="Q34" s="626"/>
      <c r="R34" s="626"/>
    </row>
    <row r="35" spans="1:18" ht="14.25" x14ac:dyDescent="0.2">
      <c r="A35" s="569"/>
      <c r="B35" s="569"/>
      <c r="C35" s="570"/>
      <c r="D35" s="570"/>
      <c r="E35" s="570"/>
      <c r="F35" s="570"/>
      <c r="G35" s="570"/>
      <c r="H35" s="570"/>
      <c r="I35" s="570"/>
      <c r="J35" s="569"/>
      <c r="K35" s="569"/>
      <c r="L35" s="570"/>
      <c r="M35" s="570"/>
      <c r="N35" s="570"/>
      <c r="O35" s="570"/>
      <c r="P35" s="570"/>
      <c r="Q35" s="570"/>
      <c r="R35" s="570"/>
    </row>
    <row r="36" spans="1:18" x14ac:dyDescent="0.2">
      <c r="A36" s="1"/>
      <c r="B36" s="1"/>
      <c r="D36" s="572"/>
      <c r="E36" s="570"/>
      <c r="F36" s="572"/>
      <c r="G36" s="570"/>
      <c r="H36" s="572"/>
      <c r="I36" s="570"/>
      <c r="J36" s="1"/>
      <c r="K36" s="1"/>
      <c r="M36" s="572"/>
      <c r="N36" s="570"/>
      <c r="O36" s="572"/>
      <c r="P36" s="570"/>
      <c r="Q36" s="572"/>
      <c r="R36" s="570"/>
    </row>
    <row r="37" spans="1:18" x14ac:dyDescent="0.2">
      <c r="B37" s="571"/>
      <c r="D37" s="570"/>
      <c r="E37" s="570"/>
      <c r="F37" s="570"/>
      <c r="G37" s="570"/>
      <c r="H37" s="570"/>
      <c r="I37" s="570"/>
      <c r="K37" s="572"/>
      <c r="M37" s="570"/>
      <c r="N37" s="570"/>
      <c r="O37" s="570"/>
      <c r="P37" s="570"/>
      <c r="Q37" s="570"/>
      <c r="R37" s="570"/>
    </row>
    <row r="38" spans="1:18" x14ac:dyDescent="0.2">
      <c r="D38" s="570"/>
      <c r="E38" s="570"/>
      <c r="F38" s="570"/>
      <c r="G38" s="570"/>
      <c r="H38" s="570"/>
      <c r="I38" s="570"/>
      <c r="M38" s="570"/>
      <c r="N38" s="570"/>
      <c r="O38" s="570"/>
      <c r="P38" s="570"/>
      <c r="Q38" s="570"/>
      <c r="R38" s="570"/>
    </row>
    <row r="39" spans="1:18" x14ac:dyDescent="0.2">
      <c r="A39" s="570"/>
      <c r="B39" s="570"/>
      <c r="D39" s="570"/>
      <c r="E39" s="570"/>
      <c r="F39" s="570"/>
      <c r="G39" s="570"/>
      <c r="H39" s="570"/>
      <c r="I39" s="570"/>
      <c r="J39" s="570"/>
      <c r="K39" s="570"/>
      <c r="M39" s="570"/>
      <c r="N39" s="570"/>
      <c r="O39" s="570"/>
      <c r="P39" s="570"/>
      <c r="Q39" s="570"/>
      <c r="R39" s="570"/>
    </row>
    <row r="40" spans="1:18" x14ac:dyDescent="0.2">
      <c r="C40" s="571"/>
      <c r="D40" s="573"/>
      <c r="E40" s="573"/>
      <c r="F40" s="573"/>
      <c r="G40" s="573"/>
      <c r="H40" s="573"/>
      <c r="I40" s="573"/>
      <c r="L40" s="571"/>
      <c r="M40" s="573"/>
      <c r="N40" s="573"/>
      <c r="O40" s="573"/>
      <c r="P40" s="573"/>
      <c r="Q40" s="573"/>
      <c r="R40" s="573"/>
    </row>
    <row r="41" spans="1:18" x14ac:dyDescent="0.2">
      <c r="C41" s="571"/>
      <c r="D41" s="573"/>
      <c r="E41" s="573"/>
      <c r="F41" s="573"/>
      <c r="G41" s="573"/>
      <c r="H41" s="573"/>
      <c r="I41" s="573"/>
      <c r="L41" s="571"/>
      <c r="M41" s="573"/>
      <c r="N41" s="573"/>
      <c r="O41" s="573"/>
      <c r="P41" s="573"/>
      <c r="Q41" s="573"/>
      <c r="R41" s="573"/>
    </row>
    <row r="42" spans="1:18" x14ac:dyDescent="0.2">
      <c r="C42" s="571"/>
      <c r="D42" s="627"/>
      <c r="E42" s="573"/>
      <c r="F42" s="573"/>
      <c r="G42" s="573"/>
      <c r="H42" s="573"/>
      <c r="I42" s="573"/>
      <c r="L42" s="571"/>
      <c r="M42" s="627"/>
      <c r="N42" s="573"/>
      <c r="O42" s="573"/>
      <c r="P42" s="573"/>
      <c r="Q42" s="573"/>
      <c r="R42" s="573"/>
    </row>
    <row r="43" spans="1:18" x14ac:dyDescent="0.2">
      <c r="A43" s="1"/>
      <c r="B43" s="1"/>
      <c r="C43" s="574"/>
      <c r="D43" s="570"/>
      <c r="E43" s="570"/>
      <c r="F43" s="570"/>
      <c r="G43" s="570"/>
      <c r="H43" s="570"/>
      <c r="I43" s="570"/>
      <c r="J43" s="1"/>
      <c r="K43" s="1"/>
      <c r="L43" s="574"/>
      <c r="M43" s="570"/>
      <c r="N43" s="570"/>
      <c r="O43" s="570"/>
      <c r="P43" s="570"/>
      <c r="Q43" s="570"/>
      <c r="R43" s="570"/>
    </row>
    <row r="44" spans="1:18" x14ac:dyDescent="0.2">
      <c r="A44" s="1"/>
      <c r="B44" s="571"/>
      <c r="C44" s="574"/>
      <c r="D44" s="570"/>
      <c r="E44" s="570"/>
      <c r="F44" s="570"/>
      <c r="G44" s="570"/>
      <c r="H44" s="570"/>
      <c r="I44" s="570"/>
      <c r="J44" s="1"/>
      <c r="K44" s="572"/>
      <c r="L44" s="574"/>
      <c r="M44" s="570"/>
      <c r="N44" s="570"/>
      <c r="O44" s="570"/>
      <c r="P44" s="570"/>
      <c r="Q44" s="570"/>
      <c r="R44" s="570"/>
    </row>
    <row r="45" spans="1:18" x14ac:dyDescent="0.2">
      <c r="A45" s="1"/>
      <c r="B45" s="572"/>
      <c r="C45" s="571"/>
      <c r="D45" s="570"/>
      <c r="E45" s="570"/>
      <c r="F45" s="570"/>
      <c r="G45" s="570"/>
      <c r="H45" s="570"/>
      <c r="I45" s="570"/>
      <c r="J45" s="1"/>
      <c r="K45" s="572"/>
      <c r="L45" s="571"/>
      <c r="M45" s="570"/>
      <c r="N45" s="570"/>
      <c r="O45" s="570"/>
      <c r="P45" s="570"/>
      <c r="Q45" s="570"/>
      <c r="R45" s="570"/>
    </row>
    <row r="46" spans="1:18" x14ac:dyDescent="0.2">
      <c r="A46" s="1"/>
      <c r="B46" s="572"/>
      <c r="D46" s="570"/>
      <c r="E46" s="570"/>
      <c r="F46" s="570"/>
      <c r="G46" s="570"/>
      <c r="H46" s="570"/>
      <c r="I46" s="570"/>
      <c r="J46" s="1"/>
      <c r="K46" s="572"/>
      <c r="M46" s="570"/>
      <c r="N46" s="570"/>
      <c r="O46" s="570"/>
      <c r="P46" s="570"/>
      <c r="Q46" s="570"/>
      <c r="R46" s="570"/>
    </row>
    <row r="47" spans="1:18" x14ac:dyDescent="0.2">
      <c r="A47" s="631"/>
      <c r="B47" s="631"/>
      <c r="C47" s="628"/>
      <c r="D47" s="628"/>
      <c r="F47" s="631"/>
      <c r="G47" s="631"/>
      <c r="H47" s="628"/>
      <c r="I47" s="628"/>
      <c r="J47" s="1"/>
      <c r="K47" s="1"/>
      <c r="L47" s="628"/>
      <c r="M47" s="628"/>
      <c r="O47" s="1"/>
      <c r="P47" s="1"/>
      <c r="Q47" s="628"/>
      <c r="R47" s="628"/>
    </row>
    <row r="48" spans="1:18" x14ac:dyDescent="0.2">
      <c r="A48" s="631"/>
      <c r="B48" s="574"/>
      <c r="C48" s="628"/>
      <c r="D48" s="628"/>
      <c r="F48" s="631"/>
      <c r="G48" s="631"/>
      <c r="H48" s="628"/>
      <c r="I48" s="628"/>
      <c r="J48" s="1"/>
      <c r="K48" s="570"/>
      <c r="L48" s="628"/>
      <c r="M48" s="628"/>
      <c r="O48" s="1"/>
      <c r="P48" s="1"/>
      <c r="Q48" s="628"/>
      <c r="R48" s="628"/>
    </row>
    <row r="49" spans="1:18" x14ac:dyDescent="0.2">
      <c r="A49" s="631"/>
      <c r="B49" s="631"/>
      <c r="C49" s="629"/>
      <c r="D49" s="629"/>
      <c r="F49" s="631"/>
      <c r="G49" s="631"/>
      <c r="H49" s="629"/>
      <c r="I49" s="629"/>
      <c r="J49" s="1"/>
      <c r="K49" s="1"/>
      <c r="L49" s="629"/>
      <c r="M49" s="629"/>
      <c r="O49" s="1"/>
      <c r="P49" s="1"/>
      <c r="Q49" s="629"/>
      <c r="R49" s="629"/>
    </row>
    <row r="50" spans="1:18" x14ac:dyDescent="0.2">
      <c r="A50" s="631"/>
      <c r="B50" s="631"/>
      <c r="C50" s="628"/>
      <c r="D50" s="628"/>
      <c r="J50" s="1"/>
      <c r="K50" s="1"/>
      <c r="L50" s="628"/>
      <c r="M50" s="628"/>
    </row>
    <row r="51" spans="1:18" x14ac:dyDescent="0.2">
      <c r="A51" s="571"/>
      <c r="B51" s="574"/>
      <c r="C51" s="630"/>
      <c r="D51" s="630"/>
      <c r="J51" s="572"/>
      <c r="K51" s="570"/>
      <c r="L51" s="630"/>
      <c r="M51" s="630"/>
    </row>
    <row r="52" spans="1:18" x14ac:dyDescent="0.2">
      <c r="A52" s="1"/>
      <c r="B52" s="1"/>
      <c r="C52" s="570"/>
      <c r="D52" s="570"/>
      <c r="G52" s="1"/>
      <c r="H52" s="570"/>
      <c r="I52" s="570"/>
      <c r="J52" s="1"/>
      <c r="K52" s="1"/>
      <c r="L52" s="570"/>
      <c r="M52" s="570"/>
      <c r="P52" s="1"/>
      <c r="Q52" s="570"/>
      <c r="R52" s="570"/>
    </row>
    <row r="53" spans="1:18" x14ac:dyDescent="0.2">
      <c r="A53" s="1"/>
      <c r="B53" s="570"/>
      <c r="D53" s="572"/>
      <c r="E53" s="570"/>
      <c r="H53" s="572"/>
      <c r="I53" s="570"/>
      <c r="J53" s="1"/>
      <c r="K53" s="570"/>
      <c r="M53" s="572"/>
      <c r="N53" s="570"/>
      <c r="Q53" s="572"/>
      <c r="R53" s="570"/>
    </row>
    <row r="54" spans="1:18" x14ac:dyDescent="0.2">
      <c r="B54" s="571"/>
      <c r="D54" s="570"/>
      <c r="E54" s="570"/>
      <c r="K54" s="572"/>
      <c r="M54" s="570"/>
      <c r="N54" s="570"/>
    </row>
    <row r="55" spans="1:18" x14ac:dyDescent="0.2">
      <c r="D55" s="570"/>
      <c r="E55" s="570"/>
      <c r="M55" s="570"/>
      <c r="N55" s="570"/>
    </row>
    <row r="56" spans="1:18" x14ac:dyDescent="0.2">
      <c r="D56" s="570"/>
      <c r="E56" s="570"/>
      <c r="H56" s="570"/>
      <c r="I56" s="570"/>
      <c r="M56" s="570"/>
      <c r="N56" s="570"/>
      <c r="Q56" s="570"/>
      <c r="R56" s="570"/>
    </row>
    <row r="57" spans="1:18" x14ac:dyDescent="0.2">
      <c r="C57" s="571"/>
      <c r="D57" s="570"/>
      <c r="E57" s="570"/>
      <c r="G57" s="571"/>
      <c r="H57" s="570"/>
      <c r="I57" s="570"/>
      <c r="L57" s="571"/>
      <c r="M57" s="570"/>
      <c r="N57" s="570"/>
      <c r="P57" s="571"/>
      <c r="Q57" s="570"/>
      <c r="R57" s="570"/>
    </row>
    <row r="60" spans="1:18" ht="18" x14ac:dyDescent="0.25">
      <c r="J60" s="609"/>
      <c r="K60" s="609"/>
      <c r="L60" s="609"/>
      <c r="M60" s="609"/>
      <c r="N60" s="609"/>
      <c r="O60" s="609"/>
      <c r="P60" s="609"/>
      <c r="Q60" s="609"/>
      <c r="R60" s="609"/>
    </row>
    <row r="62" spans="1:18" x14ac:dyDescent="0.2">
      <c r="J62" s="610"/>
      <c r="K62" s="610"/>
    </row>
    <row r="64" spans="1:18" x14ac:dyDescent="0.2">
      <c r="J64" s="4"/>
      <c r="K64" s="4"/>
      <c r="L64" s="4"/>
      <c r="N64" s="611"/>
    </row>
    <row r="66" spans="10:14" x14ac:dyDescent="0.2">
      <c r="J66" s="4"/>
      <c r="K66" s="4"/>
      <c r="L66" s="4"/>
      <c r="M66" s="611"/>
      <c r="N66" s="611"/>
    </row>
    <row r="68" spans="10:14" x14ac:dyDescent="0.2">
      <c r="J68" s="612"/>
      <c r="K68" s="612"/>
      <c r="L68" s="612"/>
      <c r="M68" s="611"/>
      <c r="N68" s="611"/>
    </row>
    <row r="70" spans="10:14" x14ac:dyDescent="0.2">
      <c r="J70" s="612"/>
      <c r="K70" s="612"/>
      <c r="L70" s="612"/>
      <c r="M70" s="611"/>
      <c r="N70" s="611"/>
    </row>
    <row r="72" spans="10:14" x14ac:dyDescent="0.2">
      <c r="J72" s="610"/>
      <c r="K72" s="610"/>
    </row>
    <row r="74" spans="10:14" x14ac:dyDescent="0.2">
      <c r="J74" s="4"/>
      <c r="K74" s="4"/>
      <c r="L74" s="4"/>
      <c r="M74" s="611"/>
      <c r="N74" s="611"/>
    </row>
    <row r="76" spans="10:14" x14ac:dyDescent="0.2">
      <c r="J76" s="4"/>
      <c r="K76" s="4"/>
      <c r="L76" s="4"/>
      <c r="M76" s="611"/>
      <c r="N76" s="611"/>
    </row>
    <row r="78" spans="10:14" x14ac:dyDescent="0.2">
      <c r="J78" s="612"/>
      <c r="K78" s="612"/>
      <c r="L78" s="612"/>
      <c r="M78" s="611"/>
      <c r="N78" s="611"/>
    </row>
    <row r="80" spans="10:14" x14ac:dyDescent="0.2">
      <c r="J80" s="612"/>
      <c r="K80" s="612"/>
      <c r="L80" s="612"/>
      <c r="M80" s="611"/>
      <c r="N80" s="611"/>
    </row>
    <row r="82" spans="10:14" x14ac:dyDescent="0.2">
      <c r="J82" s="610"/>
      <c r="K82" s="610"/>
    </row>
    <row r="84" spans="10:14" x14ac:dyDescent="0.2">
      <c r="J84" s="4"/>
      <c r="K84" s="4"/>
      <c r="L84" s="4"/>
      <c r="M84" s="611"/>
      <c r="N84" s="611"/>
    </row>
    <row r="86" spans="10:14" x14ac:dyDescent="0.2">
      <c r="J86" s="4"/>
      <c r="K86" s="4"/>
      <c r="L86" s="4"/>
      <c r="M86" s="611"/>
      <c r="N86" s="611"/>
    </row>
    <row r="88" spans="10:14" x14ac:dyDescent="0.2">
      <c r="J88" s="612"/>
      <c r="K88" s="612"/>
      <c r="L88" s="612"/>
      <c r="M88" s="611"/>
      <c r="N88" s="611"/>
    </row>
    <row r="90" spans="10:14" x14ac:dyDescent="0.2">
      <c r="J90" s="612"/>
      <c r="K90" s="612"/>
      <c r="L90" s="612"/>
      <c r="M90" s="611"/>
      <c r="N90" s="611"/>
    </row>
    <row r="92" spans="10:14" x14ac:dyDescent="0.2">
      <c r="J92" s="610"/>
      <c r="K92" s="610"/>
    </row>
    <row r="94" spans="10:14" x14ac:dyDescent="0.2">
      <c r="J94" s="612"/>
      <c r="K94" s="612"/>
      <c r="L94" s="612"/>
      <c r="M94" s="611"/>
      <c r="N94" s="611"/>
    </row>
    <row r="96" spans="10:14" x14ac:dyDescent="0.2">
      <c r="J96" s="4"/>
      <c r="K96" s="4"/>
      <c r="L96" s="4"/>
      <c r="M96" s="611"/>
      <c r="N96" s="611"/>
    </row>
    <row r="98" spans="10:14" x14ac:dyDescent="0.2">
      <c r="J98" s="612"/>
      <c r="K98" s="612"/>
      <c r="L98" s="612"/>
      <c r="M98" s="611"/>
      <c r="N98" s="611"/>
    </row>
    <row r="100" spans="10:14" x14ac:dyDescent="0.2">
      <c r="J100" s="612"/>
      <c r="K100" s="612"/>
      <c r="L100" s="612"/>
      <c r="M100" s="611"/>
      <c r="N100" s="611"/>
    </row>
    <row r="102" spans="10:14" x14ac:dyDescent="0.2">
      <c r="J102" s="610"/>
      <c r="K102" s="610"/>
    </row>
    <row r="104" spans="10:14" x14ac:dyDescent="0.2">
      <c r="J104" s="612"/>
      <c r="K104" s="612"/>
      <c r="L104" s="612"/>
      <c r="M104" s="611"/>
      <c r="N104" s="611"/>
    </row>
    <row r="106" spans="10:14" x14ac:dyDescent="0.2">
      <c r="J106" s="4"/>
      <c r="K106" s="4"/>
      <c r="L106" s="4"/>
      <c r="M106" s="611"/>
      <c r="N106" s="611"/>
    </row>
    <row r="108" spans="10:14" x14ac:dyDescent="0.2">
      <c r="J108" s="612"/>
      <c r="K108" s="612"/>
      <c r="L108" s="612"/>
      <c r="M108" s="611"/>
      <c r="N108" s="611"/>
    </row>
    <row r="110" spans="10:14" x14ac:dyDescent="0.2">
      <c r="J110" s="612"/>
      <c r="K110" s="612"/>
      <c r="L110" s="612"/>
      <c r="M110" s="611"/>
      <c r="N110" s="611"/>
    </row>
  </sheetData>
  <sheetProtection algorithmName="SHA-512" hashValue="+VvcovvNJC/4s0fkFquX5tKdqDzw5yYRcxEVNpdDdPXTfQGSUvvWyBI+t0D0UusDr8UFf3FIIlWW4fl61FLdeQ==" saltValue="4jP1RPTVH2ijD0Qev15eBQ==" spinCount="100000" sheet="1" selectLockedCells="1"/>
  <mergeCells count="64">
    <mergeCell ref="B29:C29"/>
    <mergeCell ref="B30:C30"/>
    <mergeCell ref="B31:C31"/>
    <mergeCell ref="B32:C32"/>
    <mergeCell ref="H18:I18"/>
    <mergeCell ref="H21:I21"/>
    <mergeCell ref="H29:I29"/>
    <mergeCell ref="H30:I30"/>
    <mergeCell ref="H31:I31"/>
    <mergeCell ref="H19:I19"/>
    <mergeCell ref="H20:I20"/>
    <mergeCell ref="F29:G29"/>
    <mergeCell ref="F30:G30"/>
    <mergeCell ref="F31:G31"/>
    <mergeCell ref="F32:G32"/>
    <mergeCell ref="H32:I32"/>
    <mergeCell ref="H17:I17"/>
    <mergeCell ref="H28:I28"/>
    <mergeCell ref="F10:G10"/>
    <mergeCell ref="H7:I7"/>
    <mergeCell ref="H8:I8"/>
    <mergeCell ref="H9:I9"/>
    <mergeCell ref="H10:I10"/>
    <mergeCell ref="F28:G28"/>
    <mergeCell ref="C18:D18"/>
    <mergeCell ref="C20:D20"/>
    <mergeCell ref="B28:C28"/>
    <mergeCell ref="B6:C6"/>
    <mergeCell ref="D6:E6"/>
    <mergeCell ref="D13:E13"/>
    <mergeCell ref="A14:B14"/>
    <mergeCell ref="A21:B21"/>
    <mergeCell ref="C22:D22"/>
    <mergeCell ref="A1:I1"/>
    <mergeCell ref="B5:I5"/>
    <mergeCell ref="A15:B15"/>
    <mergeCell ref="B8:C8"/>
    <mergeCell ref="B9:C9"/>
    <mergeCell ref="B10:C10"/>
    <mergeCell ref="B7:C7"/>
    <mergeCell ref="D7:E7"/>
    <mergeCell ref="D8:E8"/>
    <mergeCell ref="D9:E9"/>
    <mergeCell ref="D10:E10"/>
    <mergeCell ref="F7:G7"/>
    <mergeCell ref="F8:G8"/>
    <mergeCell ref="F6:G6"/>
    <mergeCell ref="H6:I6"/>
    <mergeCell ref="F9:G9"/>
    <mergeCell ref="D3:I3"/>
    <mergeCell ref="A3:C3"/>
    <mergeCell ref="A25:D25"/>
    <mergeCell ref="A26:D26"/>
    <mergeCell ref="F26:I26"/>
    <mergeCell ref="A19:B19"/>
    <mergeCell ref="C19:D19"/>
    <mergeCell ref="F25:I25"/>
    <mergeCell ref="D14:E14"/>
    <mergeCell ref="D15:E15"/>
    <mergeCell ref="D16:E16"/>
    <mergeCell ref="A22:B22"/>
    <mergeCell ref="C21:D21"/>
    <mergeCell ref="A18:B18"/>
    <mergeCell ref="A20:B20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'List Data'!$L$2:$L$5</xm:f>
          </x14:formula1>
          <xm:sqref>H49:I49 H21</xm:sqref>
        </x14:dataValidation>
        <x14:dataValidation type="list" allowBlank="1" showInputMessage="1" showErrorMessage="1" xr:uid="{8C9F487C-F078-484E-B3E8-AD02ADA7678F}">
          <x14:formula1>
            <xm:f>'List Data'!$P$2:$P$8</xm:f>
          </x14:formula1>
          <xm:sqref>H18:I18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2:J42"/>
  <sheetViews>
    <sheetView zoomScaleNormal="100" zoomScaleSheetLayoutView="100" workbookViewId="0">
      <selection activeCell="E35" sqref="E35"/>
    </sheetView>
  </sheetViews>
  <sheetFormatPr defaultColWidth="8.7109375" defaultRowHeight="12.75" x14ac:dyDescent="0.2"/>
  <cols>
    <col min="2" max="2" width="11.140625" customWidth="1"/>
    <col min="3" max="3" width="15.140625" customWidth="1"/>
    <col min="4" max="4" width="3.85546875" customWidth="1"/>
    <col min="5" max="5" width="13" style="570" customWidth="1"/>
    <col min="6" max="6" width="3.85546875" customWidth="1"/>
    <col min="7" max="7" width="13" style="570" customWidth="1"/>
    <col min="8" max="8" width="3.85546875" customWidth="1"/>
    <col min="9" max="9" width="13" style="570" customWidth="1"/>
  </cols>
  <sheetData>
    <row r="2" spans="1:10" ht="18" x14ac:dyDescent="0.25">
      <c r="A2" s="919" t="s">
        <v>101</v>
      </c>
      <c r="B2" s="919"/>
      <c r="C2" s="919"/>
      <c r="D2" s="919"/>
      <c r="E2" s="919"/>
      <c r="F2" s="919"/>
      <c r="G2" s="919"/>
      <c r="H2" s="919"/>
      <c r="I2" s="919"/>
      <c r="J2" s="919"/>
    </row>
    <row r="4" spans="1:10" x14ac:dyDescent="0.2">
      <c r="A4" s="632"/>
      <c r="B4" s="632"/>
      <c r="C4" s="616"/>
      <c r="E4" s="636" t="s">
        <v>230</v>
      </c>
      <c r="G4" s="636" t="s">
        <v>237</v>
      </c>
      <c r="I4" s="636" t="s">
        <v>265</v>
      </c>
    </row>
    <row r="5" spans="1:10" x14ac:dyDescent="0.2">
      <c r="A5" s="616"/>
      <c r="B5" s="616"/>
      <c r="C5" s="616"/>
    </row>
    <row r="6" spans="1:10" x14ac:dyDescent="0.2">
      <c r="A6" s="715" t="s">
        <v>261</v>
      </c>
      <c r="B6" s="715"/>
      <c r="C6" s="715"/>
      <c r="D6" s="570"/>
      <c r="E6" s="635"/>
      <c r="G6" s="635"/>
      <c r="I6" s="635"/>
    </row>
    <row r="7" spans="1:10" x14ac:dyDescent="0.2">
      <c r="A7" s="616"/>
      <c r="B7" s="616"/>
      <c r="C7" s="616"/>
    </row>
    <row r="8" spans="1:10" x14ac:dyDescent="0.2">
      <c r="A8" s="715" t="s">
        <v>262</v>
      </c>
      <c r="B8" s="715"/>
      <c r="C8" s="715"/>
      <c r="D8" s="570"/>
      <c r="E8" s="635"/>
      <c r="G8" s="635"/>
      <c r="I8" s="635"/>
    </row>
    <row r="9" spans="1:10" x14ac:dyDescent="0.2">
      <c r="A9" s="616"/>
      <c r="B9" s="616"/>
      <c r="C9" s="616"/>
    </row>
    <row r="10" spans="1:10" x14ac:dyDescent="0.2">
      <c r="A10" s="598" t="s">
        <v>263</v>
      </c>
      <c r="B10" s="598"/>
      <c r="C10" s="598"/>
      <c r="D10" s="570"/>
      <c r="E10" s="635"/>
      <c r="G10" s="635"/>
      <c r="I10" s="635"/>
    </row>
    <row r="11" spans="1:10" x14ac:dyDescent="0.2">
      <c r="A11" s="616"/>
      <c r="B11" s="616"/>
      <c r="C11" s="616"/>
    </row>
    <row r="12" spans="1:10" x14ac:dyDescent="0.2">
      <c r="A12" s="598" t="s">
        <v>264</v>
      </c>
      <c r="B12" s="598"/>
      <c r="C12" s="598"/>
      <c r="D12" s="570"/>
      <c r="E12" s="635"/>
      <c r="G12" s="635"/>
      <c r="I12" s="635"/>
    </row>
    <row r="13" spans="1:10" x14ac:dyDescent="0.2">
      <c r="A13" s="616"/>
      <c r="B13" s="616"/>
      <c r="C13" s="616"/>
    </row>
    <row r="14" spans="1:10" x14ac:dyDescent="0.2">
      <c r="C14" s="616"/>
      <c r="E14" s="636" t="s">
        <v>239</v>
      </c>
      <c r="F14" s="632"/>
    </row>
    <row r="15" spans="1:10" x14ac:dyDescent="0.2">
      <c r="A15" s="616"/>
      <c r="B15" s="616"/>
      <c r="C15" s="616"/>
    </row>
    <row r="16" spans="1:10" x14ac:dyDescent="0.2">
      <c r="A16" s="715" t="s">
        <v>261</v>
      </c>
      <c r="B16" s="715"/>
      <c r="C16" s="715"/>
      <c r="D16" s="570"/>
      <c r="E16" s="635"/>
    </row>
    <row r="17" spans="1:7" x14ac:dyDescent="0.2">
      <c r="A17" s="616"/>
      <c r="B17" s="616"/>
      <c r="C17" s="616"/>
    </row>
    <row r="18" spans="1:7" x14ac:dyDescent="0.2">
      <c r="A18" s="715" t="s">
        <v>262</v>
      </c>
      <c r="B18" s="715"/>
      <c r="C18" s="715"/>
      <c r="D18" s="570"/>
      <c r="E18" s="635"/>
    </row>
    <row r="19" spans="1:7" x14ac:dyDescent="0.2">
      <c r="A19" s="616"/>
      <c r="B19" s="616"/>
      <c r="C19" s="616"/>
    </row>
    <row r="20" spans="1:7" x14ac:dyDescent="0.2">
      <c r="A20" s="598" t="s">
        <v>263</v>
      </c>
      <c r="B20" s="598"/>
      <c r="C20" s="598"/>
      <c r="D20" s="570"/>
      <c r="E20" s="635"/>
    </row>
    <row r="21" spans="1:7" x14ac:dyDescent="0.2">
      <c r="A21" s="616"/>
      <c r="B21" s="616"/>
      <c r="C21" s="616"/>
    </row>
    <row r="22" spans="1:7" x14ac:dyDescent="0.2">
      <c r="A22" s="598" t="s">
        <v>264</v>
      </c>
      <c r="B22" s="598"/>
      <c r="C22" s="598"/>
      <c r="D22" s="570"/>
      <c r="E22" s="635"/>
    </row>
    <row r="23" spans="1:7" x14ac:dyDescent="0.2">
      <c r="A23" s="616"/>
      <c r="B23" s="616"/>
      <c r="C23" s="616"/>
    </row>
    <row r="24" spans="1:7" x14ac:dyDescent="0.2">
      <c r="B24" s="632"/>
      <c r="C24" s="616"/>
      <c r="E24" s="636" t="s">
        <v>232</v>
      </c>
      <c r="G24" s="636" t="s">
        <v>238</v>
      </c>
    </row>
    <row r="25" spans="1:7" x14ac:dyDescent="0.2">
      <c r="A25" s="616"/>
      <c r="B25" s="616"/>
      <c r="C25" s="616"/>
    </row>
    <row r="26" spans="1:7" x14ac:dyDescent="0.2">
      <c r="A26" s="598" t="s">
        <v>233</v>
      </c>
      <c r="B26" s="598"/>
      <c r="C26" s="598"/>
      <c r="D26" s="570"/>
      <c r="E26" s="635"/>
      <c r="G26" s="635"/>
    </row>
    <row r="27" spans="1:7" x14ac:dyDescent="0.2">
      <c r="A27" s="616"/>
      <c r="B27" s="616"/>
      <c r="C27" s="616"/>
    </row>
    <row r="28" spans="1:7" x14ac:dyDescent="0.2">
      <c r="A28" s="715" t="s">
        <v>231</v>
      </c>
      <c r="B28" s="715"/>
      <c r="C28" s="715"/>
      <c r="D28" s="570"/>
      <c r="E28" s="635"/>
      <c r="G28" s="635"/>
    </row>
    <row r="29" spans="1:7" x14ac:dyDescent="0.2">
      <c r="A29" s="616"/>
      <c r="B29" s="616"/>
      <c r="C29" s="616"/>
    </row>
    <row r="30" spans="1:7" x14ac:dyDescent="0.2">
      <c r="A30" s="598" t="s">
        <v>235</v>
      </c>
      <c r="B30" s="598"/>
      <c r="C30" s="598"/>
      <c r="D30" s="570"/>
      <c r="E30" s="635"/>
      <c r="G30" s="635"/>
    </row>
    <row r="31" spans="1:7" x14ac:dyDescent="0.2">
      <c r="A31" s="616"/>
      <c r="B31" s="616"/>
      <c r="C31" s="616"/>
    </row>
    <row r="32" spans="1:7" x14ac:dyDescent="0.2">
      <c r="A32" s="598" t="s">
        <v>234</v>
      </c>
      <c r="B32" s="598"/>
      <c r="C32" s="598"/>
      <c r="D32" s="570"/>
      <c r="E32" s="635"/>
      <c r="G32" s="635"/>
    </row>
    <row r="33" spans="1:6" x14ac:dyDescent="0.2">
      <c r="A33" s="616"/>
      <c r="B33" s="616"/>
      <c r="C33" s="616"/>
    </row>
    <row r="34" spans="1:6" x14ac:dyDescent="0.2">
      <c r="B34" s="632"/>
      <c r="C34" s="616"/>
    </row>
    <row r="35" spans="1:6" x14ac:dyDescent="0.2">
      <c r="A35" s="598" t="s">
        <v>293</v>
      </c>
      <c r="B35" s="598"/>
      <c r="C35" s="598"/>
      <c r="E35" s="635"/>
      <c r="F35" s="599"/>
    </row>
    <row r="36" spans="1:6" x14ac:dyDescent="0.2">
      <c r="A36" s="634"/>
      <c r="B36" s="634"/>
      <c r="C36" s="634"/>
      <c r="D36" s="570"/>
    </row>
    <row r="37" spans="1:6" x14ac:dyDescent="0.2">
      <c r="A37" s="616"/>
      <c r="B37" s="616"/>
      <c r="C37" s="616"/>
    </row>
    <row r="38" spans="1:6" x14ac:dyDescent="0.2">
      <c r="A38" s="633"/>
      <c r="B38" s="633"/>
      <c r="C38" s="633"/>
      <c r="D38" s="570"/>
    </row>
    <row r="39" spans="1:6" x14ac:dyDescent="0.2">
      <c r="A39" s="616"/>
      <c r="B39" s="616"/>
      <c r="C39" s="616"/>
    </row>
    <row r="40" spans="1:6" x14ac:dyDescent="0.2">
      <c r="A40" s="634"/>
      <c r="B40" s="634"/>
      <c r="C40" s="634"/>
      <c r="D40" s="570"/>
    </row>
    <row r="41" spans="1:6" x14ac:dyDescent="0.2">
      <c r="A41" s="616"/>
      <c r="B41" s="616"/>
      <c r="C41" s="616"/>
    </row>
    <row r="42" spans="1:6" x14ac:dyDescent="0.2">
      <c r="A42" s="634"/>
      <c r="B42" s="634"/>
      <c r="C42" s="634"/>
      <c r="D42" s="570"/>
    </row>
  </sheetData>
  <sheetProtection algorithmName="SHA-512" hashValue="Ft4f24T89CdJKOPqHXUSC07oihCn5wjTnDu1NT85dV2rYYRMiDFkJXPkuOFw/yHqW+hfnwX5GsTTm91VrI9AKw==" saltValue="W5gw2clvqaYJPAQzu/36bA==" spinCount="100000" sheet="1" objects="1" scenarios="1" selectLockedCells="1"/>
  <mergeCells count="1">
    <mergeCell ref="A2:J2"/>
  </mergeCells>
  <pageMargins left="0.5" right="0.5" top="0.5" bottom="0.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lease Select From the List" xr:uid="{EE4D0B79-BB51-4C4D-B356-CAB3B0BD46C6}">
          <x14:formula1>
            <xm:f>'List Data'!$M$2:$M$3</xm:f>
          </x14:formula1>
          <xm:sqref>E35:G35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B3896-971F-4489-9DD3-1B73842A8A8A}">
  <dimension ref="A1:P19"/>
  <sheetViews>
    <sheetView workbookViewId="0">
      <selection activeCell="C15" sqref="C15"/>
    </sheetView>
  </sheetViews>
  <sheetFormatPr defaultRowHeight="12.75" x14ac:dyDescent="0.2"/>
  <cols>
    <col min="1" max="1" width="12.85546875" bestFit="1" customWidth="1"/>
    <col min="2" max="2" width="13.42578125" bestFit="1" customWidth="1"/>
    <col min="3" max="3" width="14.5703125" bestFit="1" customWidth="1"/>
    <col min="4" max="4" width="15.5703125" bestFit="1" customWidth="1"/>
    <col min="5" max="5" width="13.140625" bestFit="1" customWidth="1"/>
    <col min="8" max="8" width="15.140625" bestFit="1" customWidth="1"/>
    <col min="9" max="9" width="18" bestFit="1" customWidth="1"/>
    <col min="10" max="10" width="11.85546875" bestFit="1" customWidth="1"/>
    <col min="13" max="13" width="18.140625" bestFit="1" customWidth="1"/>
  </cols>
  <sheetData>
    <row r="1" spans="1:16" x14ac:dyDescent="0.2">
      <c r="A1" s="612" t="s">
        <v>44</v>
      </c>
      <c r="B1" s="612" t="s">
        <v>314</v>
      </c>
      <c r="C1" s="612" t="s">
        <v>296</v>
      </c>
      <c r="D1" s="612" t="s">
        <v>319</v>
      </c>
      <c r="E1" s="612" t="s">
        <v>320</v>
      </c>
      <c r="F1" s="612" t="s">
        <v>16</v>
      </c>
      <c r="G1" s="612" t="s">
        <v>19</v>
      </c>
      <c r="H1" s="612" t="s">
        <v>206</v>
      </c>
      <c r="I1" s="612" t="s">
        <v>35</v>
      </c>
      <c r="J1" s="612" t="s">
        <v>31</v>
      </c>
      <c r="K1" s="612" t="s">
        <v>195</v>
      </c>
      <c r="L1" s="612" t="s">
        <v>307</v>
      </c>
      <c r="M1" s="612" t="s">
        <v>333</v>
      </c>
      <c r="P1" s="612" t="s">
        <v>349</v>
      </c>
    </row>
    <row r="2" spans="1:16" x14ac:dyDescent="0.2">
      <c r="A2" s="4" t="s">
        <v>45</v>
      </c>
      <c r="B2" t="s">
        <v>345</v>
      </c>
      <c r="C2" s="4" t="s">
        <v>208</v>
      </c>
      <c r="D2" s="4">
        <v>1</v>
      </c>
      <c r="E2" s="4" t="s">
        <v>14</v>
      </c>
      <c r="F2" s="4" t="s">
        <v>18</v>
      </c>
      <c r="G2">
        <v>100</v>
      </c>
      <c r="H2" t="s">
        <v>207</v>
      </c>
      <c r="I2" s="4" t="s">
        <v>219</v>
      </c>
      <c r="J2" s="4" t="s">
        <v>36</v>
      </c>
      <c r="K2" s="4" t="s">
        <v>196</v>
      </c>
      <c r="L2" s="572">
        <v>0</v>
      </c>
      <c r="M2" s="4" t="s">
        <v>334</v>
      </c>
      <c r="P2">
        <v>20</v>
      </c>
    </row>
    <row r="3" spans="1:16" x14ac:dyDescent="0.2">
      <c r="A3" s="4" t="s">
        <v>46</v>
      </c>
      <c r="B3" t="s">
        <v>315</v>
      </c>
      <c r="C3" s="4" t="s">
        <v>209</v>
      </c>
      <c r="D3" s="4">
        <v>2</v>
      </c>
      <c r="E3" s="4" t="s">
        <v>15</v>
      </c>
      <c r="F3" s="4" t="s">
        <v>60</v>
      </c>
      <c r="G3">
        <v>120</v>
      </c>
      <c r="H3" t="s">
        <v>336</v>
      </c>
      <c r="I3" s="4" t="s">
        <v>220</v>
      </c>
      <c r="J3" s="4" t="s">
        <v>32</v>
      </c>
      <c r="K3" s="4" t="s">
        <v>197</v>
      </c>
      <c r="L3" s="572">
        <v>1</v>
      </c>
      <c r="M3" s="4" t="s">
        <v>335</v>
      </c>
      <c r="P3">
        <v>21</v>
      </c>
    </row>
    <row r="4" spans="1:16" x14ac:dyDescent="0.2">
      <c r="A4" s="4" t="s">
        <v>47</v>
      </c>
      <c r="B4" t="s">
        <v>338</v>
      </c>
      <c r="C4" s="4" t="s">
        <v>210</v>
      </c>
      <c r="D4" s="4">
        <v>3</v>
      </c>
      <c r="E4" s="4" t="s">
        <v>57</v>
      </c>
      <c r="I4" s="4" t="s">
        <v>221</v>
      </c>
      <c r="K4" s="4" t="s">
        <v>198</v>
      </c>
      <c r="L4" s="572">
        <v>2</v>
      </c>
      <c r="P4">
        <v>22</v>
      </c>
    </row>
    <row r="5" spans="1:16" x14ac:dyDescent="0.2">
      <c r="A5" s="4" t="s">
        <v>48</v>
      </c>
      <c r="B5" t="s">
        <v>316</v>
      </c>
      <c r="C5" s="4" t="s">
        <v>211</v>
      </c>
      <c r="D5" s="4">
        <v>4</v>
      </c>
      <c r="E5" s="4" t="s">
        <v>58</v>
      </c>
      <c r="I5" s="4" t="s">
        <v>222</v>
      </c>
      <c r="K5" s="4" t="s">
        <v>199</v>
      </c>
      <c r="L5" s="572">
        <v>3</v>
      </c>
      <c r="P5">
        <v>23</v>
      </c>
    </row>
    <row r="6" spans="1:16" x14ac:dyDescent="0.2">
      <c r="A6" s="4" t="s">
        <v>49</v>
      </c>
      <c r="B6" t="s">
        <v>346</v>
      </c>
      <c r="C6" s="4" t="s">
        <v>212</v>
      </c>
      <c r="D6" s="571" t="s">
        <v>216</v>
      </c>
      <c r="E6" s="4" t="s">
        <v>59</v>
      </c>
      <c r="I6" s="4" t="s">
        <v>223</v>
      </c>
      <c r="K6" s="4" t="s">
        <v>200</v>
      </c>
      <c r="P6">
        <v>24</v>
      </c>
    </row>
    <row r="7" spans="1:16" x14ac:dyDescent="0.2">
      <c r="C7" s="4" t="s">
        <v>213</v>
      </c>
      <c r="E7" s="4" t="s">
        <v>322</v>
      </c>
      <c r="I7" s="4" t="s">
        <v>342</v>
      </c>
      <c r="K7" s="4" t="s">
        <v>201</v>
      </c>
      <c r="P7">
        <v>25</v>
      </c>
    </row>
    <row r="8" spans="1:16" x14ac:dyDescent="0.2">
      <c r="C8" s="4" t="s">
        <v>214</v>
      </c>
      <c r="E8" s="4" t="s">
        <v>242</v>
      </c>
      <c r="I8" s="4" t="s">
        <v>217</v>
      </c>
      <c r="K8" s="4" t="s">
        <v>202</v>
      </c>
      <c r="P8">
        <v>26</v>
      </c>
    </row>
    <row r="9" spans="1:16" x14ac:dyDescent="0.2">
      <c r="C9" s="4" t="s">
        <v>215</v>
      </c>
      <c r="E9" s="4" t="s">
        <v>243</v>
      </c>
      <c r="I9" s="4" t="s">
        <v>215</v>
      </c>
      <c r="K9" s="4" t="s">
        <v>203</v>
      </c>
    </row>
    <row r="10" spans="1:16" x14ac:dyDescent="0.2">
      <c r="C10" s="4" t="s">
        <v>274</v>
      </c>
      <c r="E10" s="4" t="s">
        <v>244</v>
      </c>
    </row>
    <row r="11" spans="1:16" x14ac:dyDescent="0.2">
      <c r="C11" s="4" t="s">
        <v>275</v>
      </c>
      <c r="E11" s="4" t="s">
        <v>245</v>
      </c>
    </row>
    <row r="12" spans="1:16" x14ac:dyDescent="0.2">
      <c r="C12" s="4" t="s">
        <v>343</v>
      </c>
      <c r="E12" s="4" t="s">
        <v>246</v>
      </c>
    </row>
    <row r="13" spans="1:16" x14ac:dyDescent="0.2">
      <c r="C13" s="4" t="s">
        <v>344</v>
      </c>
      <c r="E13" s="4" t="s">
        <v>247</v>
      </c>
    </row>
    <row r="14" spans="1:16" x14ac:dyDescent="0.2">
      <c r="C14" s="4" t="s">
        <v>351</v>
      </c>
      <c r="E14" s="4" t="s">
        <v>248</v>
      </c>
    </row>
    <row r="15" spans="1:16" x14ac:dyDescent="0.2">
      <c r="C15" s="4" t="s">
        <v>337</v>
      </c>
      <c r="E15" s="4" t="s">
        <v>249</v>
      </c>
    </row>
    <row r="16" spans="1:16" x14ac:dyDescent="0.2">
      <c r="C16" s="4" t="s">
        <v>339</v>
      </c>
      <c r="E16" s="4" t="s">
        <v>250</v>
      </c>
    </row>
    <row r="17" spans="3:5" x14ac:dyDescent="0.2">
      <c r="C17" s="4" t="s">
        <v>341</v>
      </c>
      <c r="E17" s="4" t="s">
        <v>251</v>
      </c>
    </row>
    <row r="18" spans="3:5" x14ac:dyDescent="0.2">
      <c r="C18" s="4" t="s">
        <v>340</v>
      </c>
      <c r="E18" s="4" t="s">
        <v>323</v>
      </c>
    </row>
    <row r="19" spans="3:5" x14ac:dyDescent="0.2">
      <c r="C19" s="4" t="s">
        <v>216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3:U61"/>
  <sheetViews>
    <sheetView tabSelected="1" zoomScaleNormal="100" zoomScaleSheetLayoutView="100" workbookViewId="0">
      <selection activeCell="D11" sqref="D11:H11"/>
    </sheetView>
  </sheetViews>
  <sheetFormatPr defaultRowHeight="12.75" x14ac:dyDescent="0.2"/>
  <cols>
    <col min="1" max="3" width="13.7109375" customWidth="1"/>
    <col min="4" max="4" width="11.42578125" bestFit="1" customWidth="1"/>
    <col min="9" max="9" width="10.5703125" customWidth="1"/>
    <col min="17" max="17" width="12.85546875" bestFit="1" customWidth="1"/>
  </cols>
  <sheetData>
    <row r="3" spans="1:21" ht="15" customHeight="1" x14ac:dyDescent="0.25">
      <c r="A3" s="609"/>
      <c r="B3" s="752" t="s">
        <v>55</v>
      </c>
      <c r="C3" s="752"/>
      <c r="D3" s="751" t="s">
        <v>50</v>
      </c>
      <c r="E3" s="751"/>
      <c r="F3" s="751"/>
      <c r="G3" s="751"/>
      <c r="H3" s="751"/>
      <c r="I3" s="621"/>
      <c r="U3" s="4"/>
    </row>
    <row r="4" spans="1:21" ht="15" x14ac:dyDescent="0.2">
      <c r="A4" s="2"/>
      <c r="B4" s="2"/>
      <c r="C4" s="2"/>
      <c r="D4" s="751" t="s">
        <v>51</v>
      </c>
      <c r="E4" s="751"/>
      <c r="F4" s="751"/>
      <c r="G4" s="751"/>
      <c r="H4" s="751"/>
      <c r="I4" s="2"/>
      <c r="J4" s="2"/>
      <c r="U4" s="4"/>
    </row>
    <row r="5" spans="1:21" ht="15" x14ac:dyDescent="0.2">
      <c r="A5" s="600"/>
      <c r="D5" s="751" t="s">
        <v>52</v>
      </c>
      <c r="E5" s="751"/>
      <c r="F5" s="751"/>
      <c r="G5" s="751"/>
      <c r="H5" s="751"/>
      <c r="I5" s="2"/>
      <c r="J5" s="2"/>
    </row>
    <row r="6" spans="1:21" ht="15" x14ac:dyDescent="0.2">
      <c r="A6" s="2"/>
      <c r="B6" s="2"/>
      <c r="C6" s="2"/>
      <c r="D6" s="751" t="s">
        <v>53</v>
      </c>
      <c r="E6" s="751"/>
      <c r="F6" s="751"/>
      <c r="G6" s="751"/>
      <c r="H6" s="751"/>
      <c r="I6" s="2"/>
    </row>
    <row r="7" spans="1:21" ht="15" x14ac:dyDescent="0.2">
      <c r="A7" s="2"/>
      <c r="B7" s="2"/>
      <c r="C7" s="2"/>
      <c r="D7" s="751" t="s">
        <v>54</v>
      </c>
      <c r="E7" s="751"/>
      <c r="F7" s="751"/>
      <c r="G7" s="751"/>
      <c r="H7" s="751"/>
      <c r="I7" s="2"/>
    </row>
    <row r="8" spans="1:21" ht="15" x14ac:dyDescent="0.2">
      <c r="A8" s="2"/>
      <c r="B8" s="2"/>
      <c r="C8" s="2"/>
      <c r="D8" s="751" t="s">
        <v>240</v>
      </c>
      <c r="E8" s="751"/>
      <c r="F8" s="751"/>
      <c r="G8" s="751"/>
      <c r="H8" s="751"/>
      <c r="I8" s="2"/>
    </row>
    <row r="9" spans="1:21" ht="15" x14ac:dyDescent="0.2">
      <c r="A9" s="2"/>
      <c r="B9" s="2"/>
      <c r="C9" s="2"/>
      <c r="D9" s="751" t="s">
        <v>236</v>
      </c>
      <c r="E9" s="751"/>
      <c r="F9" s="751"/>
      <c r="G9" s="751"/>
      <c r="H9" s="751"/>
      <c r="I9" s="2"/>
    </row>
    <row r="10" spans="1:21" ht="15" x14ac:dyDescent="0.2">
      <c r="A10" s="2"/>
      <c r="B10" s="2"/>
      <c r="C10" s="2"/>
      <c r="D10" s="743"/>
      <c r="E10" s="743"/>
      <c r="F10" s="743"/>
      <c r="G10" s="743"/>
      <c r="H10" s="743"/>
      <c r="I10" s="2"/>
    </row>
    <row r="11" spans="1:21" ht="15" x14ac:dyDescent="0.2">
      <c r="A11" s="753" t="s">
        <v>288</v>
      </c>
      <c r="B11" s="753"/>
      <c r="C11" s="753"/>
      <c r="D11" s="756"/>
      <c r="E11" s="756"/>
      <c r="F11" s="756"/>
      <c r="G11" s="756"/>
      <c r="H11" s="756"/>
      <c r="I11" s="2"/>
    </row>
    <row r="12" spans="1:21" ht="15" x14ac:dyDescent="0.2">
      <c r="A12" s="724"/>
      <c r="B12" s="724"/>
      <c r="C12" s="724"/>
      <c r="D12" s="2"/>
      <c r="E12" s="2"/>
      <c r="F12" s="2"/>
      <c r="G12" s="2"/>
      <c r="H12" s="2"/>
      <c r="I12" s="2"/>
    </row>
    <row r="13" spans="1:21" ht="15" x14ac:dyDescent="0.2">
      <c r="A13" s="753" t="s">
        <v>257</v>
      </c>
      <c r="B13" s="753"/>
      <c r="C13" s="753"/>
      <c r="D13" s="757"/>
      <c r="E13" s="757"/>
      <c r="F13" s="757"/>
      <c r="G13" s="757"/>
      <c r="H13" s="757"/>
      <c r="I13" s="2"/>
    </row>
    <row r="14" spans="1:21" ht="15" x14ac:dyDescent="0.2">
      <c r="A14" s="753" t="s">
        <v>258</v>
      </c>
      <c r="B14" s="753"/>
      <c r="C14" s="753"/>
      <c r="D14" s="754"/>
      <c r="E14" s="754"/>
      <c r="F14" s="754"/>
      <c r="G14" s="754"/>
      <c r="H14" s="754"/>
      <c r="I14" s="2"/>
    </row>
    <row r="15" spans="1:21" ht="15" x14ac:dyDescent="0.2">
      <c r="A15" s="724"/>
      <c r="B15" s="724"/>
      <c r="C15" s="724" t="s">
        <v>256</v>
      </c>
      <c r="D15" s="754"/>
      <c r="E15" s="754"/>
      <c r="F15" s="754"/>
      <c r="G15" s="754"/>
      <c r="H15" s="754"/>
      <c r="I15" s="2"/>
    </row>
    <row r="16" spans="1:21" ht="15" x14ac:dyDescent="0.2">
      <c r="A16" s="753" t="s">
        <v>3</v>
      </c>
      <c r="B16" s="753"/>
      <c r="C16" s="753"/>
      <c r="D16" s="754"/>
      <c r="E16" s="754"/>
      <c r="F16" s="754"/>
      <c r="G16" s="754"/>
      <c r="H16" s="754"/>
      <c r="I16" s="2"/>
    </row>
    <row r="17" spans="1:17" ht="15" x14ac:dyDescent="0.2">
      <c r="A17" s="724"/>
      <c r="B17" s="724"/>
      <c r="C17" s="724"/>
      <c r="D17" s="745"/>
      <c r="E17" s="745"/>
      <c r="F17" s="745"/>
      <c r="G17" s="745"/>
      <c r="H17" s="745"/>
      <c r="I17" s="2"/>
    </row>
    <row r="18" spans="1:17" ht="15" x14ac:dyDescent="0.2">
      <c r="A18" s="753" t="s">
        <v>4</v>
      </c>
      <c r="B18" s="753"/>
      <c r="C18" s="753"/>
      <c r="D18" s="755"/>
      <c r="E18" s="755"/>
      <c r="F18" s="755"/>
      <c r="G18" s="755"/>
      <c r="H18" s="755"/>
      <c r="I18" s="2"/>
      <c r="Q18" s="4"/>
    </row>
    <row r="19" spans="1:17" ht="15" x14ac:dyDescent="0.2">
      <c r="A19" s="753" t="s">
        <v>56</v>
      </c>
      <c r="B19" s="753"/>
      <c r="C19" s="753"/>
      <c r="D19" s="754"/>
      <c r="E19" s="754"/>
      <c r="F19" s="754"/>
      <c r="G19" s="754"/>
      <c r="H19" s="754"/>
      <c r="I19" s="2"/>
    </row>
    <row r="20" spans="1:17" ht="15" x14ac:dyDescent="0.2">
      <c r="A20" s="739"/>
      <c r="B20" s="739"/>
      <c r="C20" s="739"/>
      <c r="D20" s="620"/>
      <c r="E20" s="3"/>
      <c r="F20" s="3"/>
      <c r="G20" s="3"/>
      <c r="H20" s="3"/>
      <c r="I20" s="2"/>
    </row>
    <row r="21" spans="1:17" ht="15" x14ac:dyDescent="0.2">
      <c r="A21" s="753" t="s">
        <v>268</v>
      </c>
      <c r="B21" s="753"/>
      <c r="C21" s="753"/>
      <c r="D21" s="757"/>
      <c r="E21" s="757"/>
      <c r="F21" s="757"/>
      <c r="G21" s="757"/>
      <c r="H21" s="757"/>
      <c r="I21" s="2"/>
    </row>
    <row r="22" spans="1:17" ht="15" x14ac:dyDescent="0.2">
      <c r="A22" s="753" t="s">
        <v>269</v>
      </c>
      <c r="B22" s="753"/>
      <c r="C22" s="753"/>
      <c r="D22" s="757"/>
      <c r="E22" s="757"/>
      <c r="F22" s="757"/>
      <c r="G22" s="757"/>
      <c r="H22" s="757"/>
      <c r="I22" s="2"/>
    </row>
    <row r="23" spans="1:17" ht="15" x14ac:dyDescent="0.2">
      <c r="A23" s="753" t="s">
        <v>259</v>
      </c>
      <c r="B23" s="753"/>
      <c r="C23" s="753"/>
      <c r="D23" s="764"/>
      <c r="E23" s="764"/>
      <c r="F23" s="764"/>
      <c r="G23" s="764"/>
      <c r="H23" s="764"/>
      <c r="I23" s="2"/>
    </row>
    <row r="24" spans="1:17" x14ac:dyDescent="0.2">
      <c r="A24" s="739"/>
      <c r="B24" s="739"/>
      <c r="C24" s="739"/>
    </row>
    <row r="25" spans="1:17" x14ac:dyDescent="0.2">
      <c r="A25" s="739"/>
      <c r="B25" s="739"/>
      <c r="C25" s="739"/>
    </row>
    <row r="26" spans="1:17" ht="15" x14ac:dyDescent="0.2">
      <c r="A26" s="753" t="s">
        <v>61</v>
      </c>
      <c r="B26" s="753"/>
      <c r="C26" s="753"/>
      <c r="D26" s="757"/>
      <c r="E26" s="757"/>
      <c r="F26" s="757"/>
      <c r="G26" s="757"/>
      <c r="H26" s="757"/>
    </row>
    <row r="27" spans="1:17" ht="15" x14ac:dyDescent="0.2">
      <c r="A27" s="753" t="s">
        <v>62</v>
      </c>
      <c r="B27" s="753"/>
      <c r="C27" s="753"/>
      <c r="D27" s="754"/>
      <c r="E27" s="754"/>
      <c r="F27" s="754"/>
      <c r="G27" s="754"/>
      <c r="H27" s="754"/>
    </row>
    <row r="28" spans="1:17" ht="15" x14ac:dyDescent="0.2">
      <c r="A28" s="753" t="s">
        <v>241</v>
      </c>
      <c r="B28" s="753"/>
      <c r="C28" s="753"/>
      <c r="D28" s="762" t="e">
        <f>VLOOKUP(D27,'List Data'!A2:B6,2,FALSE)</f>
        <v>#N/A</v>
      </c>
      <c r="E28" s="762"/>
      <c r="F28" s="762"/>
      <c r="G28" s="762"/>
      <c r="H28" s="762"/>
    </row>
    <row r="29" spans="1:17" ht="15" x14ac:dyDescent="0.2">
      <c r="A29" s="724"/>
      <c r="B29" s="724"/>
      <c r="C29" s="724"/>
      <c r="D29" s="3"/>
      <c r="E29" s="3"/>
      <c r="F29" s="3"/>
      <c r="G29" s="3"/>
      <c r="H29" s="3"/>
    </row>
    <row r="30" spans="1:17" ht="18" x14ac:dyDescent="0.25">
      <c r="A30" s="753" t="s">
        <v>41</v>
      </c>
      <c r="B30" s="763"/>
      <c r="C30" s="763"/>
      <c r="D30" s="757"/>
      <c r="E30" s="757"/>
      <c r="F30" s="757"/>
      <c r="G30" s="757"/>
      <c r="H30" s="757"/>
    </row>
    <row r="31" spans="1:17" ht="15" x14ac:dyDescent="0.2">
      <c r="A31" s="753" t="s">
        <v>40</v>
      </c>
      <c r="B31" s="753"/>
      <c r="C31" s="753"/>
      <c r="D31" s="758"/>
      <c r="E31" s="758"/>
      <c r="F31" s="758"/>
      <c r="G31" s="758"/>
      <c r="H31" s="758"/>
    </row>
    <row r="32" spans="1:17" ht="15" x14ac:dyDescent="0.2">
      <c r="A32" s="753" t="s">
        <v>42</v>
      </c>
      <c r="B32" s="753"/>
      <c r="C32" s="753"/>
      <c r="D32" s="759"/>
      <c r="E32" s="759"/>
      <c r="F32" s="759"/>
      <c r="G32" s="759"/>
      <c r="H32" s="759"/>
    </row>
    <row r="33" spans="1:9" ht="15" x14ac:dyDescent="0.2">
      <c r="A33" s="724"/>
      <c r="B33" s="724"/>
      <c r="C33" s="724"/>
      <c r="D33" s="2"/>
      <c r="E33" s="3"/>
      <c r="F33" s="3"/>
      <c r="G33" s="3"/>
      <c r="H33" s="3"/>
    </row>
    <row r="34" spans="1:9" ht="15" x14ac:dyDescent="0.2">
      <c r="A34" s="724"/>
      <c r="B34" s="724"/>
      <c r="C34" s="724" t="s">
        <v>313</v>
      </c>
      <c r="D34" s="760"/>
      <c r="E34" s="760"/>
      <c r="F34" s="2"/>
      <c r="G34" s="2"/>
      <c r="H34" s="2"/>
    </row>
    <row r="35" spans="1:9" ht="15" customHeight="1" x14ac:dyDescent="0.2">
      <c r="A35" s="753" t="s">
        <v>312</v>
      </c>
      <c r="B35" s="753"/>
      <c r="C35" s="753"/>
      <c r="D35" s="761"/>
      <c r="E35" s="761"/>
      <c r="F35" s="761"/>
      <c r="G35" s="2"/>
      <c r="H35" s="2"/>
      <c r="I35" s="2"/>
    </row>
    <row r="36" spans="1:9" ht="15" x14ac:dyDescent="0.2">
      <c r="I36" s="2"/>
    </row>
    <row r="37" spans="1:9" ht="15" x14ac:dyDescent="0.2">
      <c r="I37" s="2"/>
    </row>
    <row r="38" spans="1:9" ht="15" x14ac:dyDescent="0.2">
      <c r="I38" s="2"/>
    </row>
    <row r="39" spans="1:9" ht="18" x14ac:dyDescent="0.25">
      <c r="I39" s="609"/>
    </row>
    <row r="40" spans="1:9" ht="15" x14ac:dyDescent="0.2">
      <c r="I40" s="2"/>
    </row>
    <row r="41" spans="1:9" ht="15" x14ac:dyDescent="0.2">
      <c r="I41" s="2"/>
    </row>
    <row r="42" spans="1:9" ht="15" x14ac:dyDescent="0.2">
      <c r="I42" s="2"/>
    </row>
    <row r="43" spans="1:9" ht="15" x14ac:dyDescent="0.2">
      <c r="I43" s="2"/>
    </row>
    <row r="44" spans="1:9" ht="15" x14ac:dyDescent="0.2">
      <c r="I44" s="2"/>
    </row>
    <row r="45" spans="1:9" ht="15" x14ac:dyDescent="0.2">
      <c r="A45" s="2"/>
      <c r="B45" s="2"/>
      <c r="C45" s="2"/>
      <c r="E45" s="2"/>
      <c r="F45" s="2"/>
      <c r="G45" s="2"/>
      <c r="H45" s="2"/>
      <c r="I45" s="2"/>
    </row>
    <row r="46" spans="1:9" ht="15" x14ac:dyDescent="0.2">
      <c r="D46" s="2"/>
    </row>
    <row r="47" spans="1:9" ht="15" x14ac:dyDescent="0.2">
      <c r="A47" s="2"/>
      <c r="B47" s="2"/>
      <c r="C47" s="2"/>
      <c r="D47" s="2"/>
      <c r="E47" s="2"/>
      <c r="F47" s="2"/>
      <c r="G47" s="2"/>
      <c r="H47" s="2"/>
      <c r="I47" s="2"/>
    </row>
    <row r="48" spans="1:9" ht="15" x14ac:dyDescent="0.2">
      <c r="A48" s="2"/>
      <c r="B48" s="2"/>
      <c r="C48" s="2"/>
      <c r="D48" s="2"/>
      <c r="E48" s="2"/>
      <c r="F48" s="2"/>
      <c r="G48" s="2"/>
      <c r="H48" s="2"/>
      <c r="I48" s="2"/>
    </row>
    <row r="49" spans="1:10" ht="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5" x14ac:dyDescent="0.2">
      <c r="A50" s="2"/>
      <c r="B50" s="3"/>
      <c r="C50" s="2"/>
      <c r="D50" s="2"/>
      <c r="E50" s="2"/>
      <c r="F50" s="2"/>
      <c r="G50" s="2"/>
      <c r="H50" s="2"/>
      <c r="I50" s="2"/>
      <c r="J50" s="2"/>
    </row>
    <row r="51" spans="1:10" ht="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5" x14ac:dyDescent="0.2">
      <c r="A52" s="2"/>
      <c r="B52" s="3"/>
      <c r="C52" s="2"/>
      <c r="D52" s="2"/>
      <c r="E52" s="2"/>
      <c r="F52" s="2"/>
      <c r="G52" s="2"/>
      <c r="H52" s="2"/>
      <c r="I52" s="2"/>
      <c r="J52" s="2"/>
    </row>
    <row r="53" spans="1:10" ht="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5" x14ac:dyDescent="0.2">
      <c r="A54" s="2"/>
      <c r="B54" s="2"/>
      <c r="C54" s="2"/>
      <c r="D54" s="2"/>
      <c r="E54" s="2"/>
      <c r="F54" s="2"/>
      <c r="G54" s="2"/>
      <c r="H54" s="600"/>
      <c r="I54" s="7"/>
      <c r="J54" s="2"/>
    </row>
    <row r="55" spans="1:10" ht="15" x14ac:dyDescent="0.2">
      <c r="A55" s="2"/>
      <c r="B55" s="2"/>
      <c r="C55" s="2"/>
      <c r="D55" s="2"/>
      <c r="E55" s="2"/>
      <c r="F55" s="2"/>
      <c r="G55" s="2"/>
      <c r="H55" s="600"/>
      <c r="I55" s="7"/>
      <c r="J55" s="2"/>
    </row>
    <row r="56" spans="1:10" ht="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5" x14ac:dyDescent="0.2">
      <c r="A60" s="2"/>
      <c r="B60" s="2"/>
      <c r="C60" s="2"/>
      <c r="D60" s="2"/>
      <c r="E60" s="2"/>
      <c r="F60" s="2"/>
      <c r="G60" s="2"/>
      <c r="H60" s="2"/>
      <c r="I60" s="2"/>
    </row>
    <row r="61" spans="1:10" ht="15" x14ac:dyDescent="0.2">
      <c r="A61" s="2"/>
      <c r="B61" s="2"/>
      <c r="C61" s="2"/>
      <c r="E61" s="2"/>
      <c r="F61" s="2"/>
      <c r="G61" s="2"/>
      <c r="H61" s="2"/>
      <c r="I61" s="2"/>
    </row>
  </sheetData>
  <sheetProtection algorithmName="SHA-512" hashValue="RJ3ty2cG++/4335UH16gxctn2RxoP7pLIQLXpa3ZrtPEna67eC9HUKKbJkrwMOj6iKWIwg/9Iu0iVoUubh4HRA==" saltValue="4Kf3LAeO+C21yC4FLqx9jA==" spinCount="100000" sheet="1" selectLockedCells="1"/>
  <mergeCells count="42">
    <mergeCell ref="A19:C19"/>
    <mergeCell ref="D21:H21"/>
    <mergeCell ref="A35:C35"/>
    <mergeCell ref="D35:F35"/>
    <mergeCell ref="D3:H3"/>
    <mergeCell ref="D4:H4"/>
    <mergeCell ref="D9:H9"/>
    <mergeCell ref="D5:H5"/>
    <mergeCell ref="D6:H6"/>
    <mergeCell ref="D7:H7"/>
    <mergeCell ref="D8:H8"/>
    <mergeCell ref="D18:H18"/>
    <mergeCell ref="D19:H19"/>
    <mergeCell ref="D31:H31"/>
    <mergeCell ref="A30:C30"/>
    <mergeCell ref="A31:C31"/>
    <mergeCell ref="B3:C3"/>
    <mergeCell ref="A18:C18"/>
    <mergeCell ref="A16:C16"/>
    <mergeCell ref="A13:C13"/>
    <mergeCell ref="A11:C11"/>
    <mergeCell ref="D11:H11"/>
    <mergeCell ref="D16:H16"/>
    <mergeCell ref="D15:H15"/>
    <mergeCell ref="A14:C14"/>
    <mergeCell ref="D13:H13"/>
    <mergeCell ref="D14:H14"/>
    <mergeCell ref="D34:E34"/>
    <mergeCell ref="D26:H26"/>
    <mergeCell ref="A21:C21"/>
    <mergeCell ref="A22:C22"/>
    <mergeCell ref="D22:H22"/>
    <mergeCell ref="A26:C26"/>
    <mergeCell ref="D23:H23"/>
    <mergeCell ref="D32:H32"/>
    <mergeCell ref="A28:C28"/>
    <mergeCell ref="A27:C27"/>
    <mergeCell ref="A32:C32"/>
    <mergeCell ref="D30:H30"/>
    <mergeCell ref="D28:H28"/>
    <mergeCell ref="D27:H27"/>
    <mergeCell ref="A23:C23"/>
  </mergeCells>
  <phoneticPr fontId="0" type="noConversion"/>
  <printOptions horizontalCentered="1"/>
  <pageMargins left="0.25" right="0.25" top="0.75" bottom="0.75" header="0.3" footer="0.3"/>
  <pageSetup scale="97" orientation="portrait" blackAndWhite="1" r:id="rId1"/>
  <headerFooter>
    <oddHeader>&amp;L&amp;G
MDT-MAT-008             05/25&amp;C&amp;"Arial,Bold"&amp;14Concrete Mix Design
Submittal Form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xWindow="483" yWindow="446" count="2">
        <x14:dataValidation type="list" allowBlank="1" showInputMessage="1" showErrorMessage="1" xr:uid="{00000000-0002-0000-0000-000000000000}">
          <x14:formula1>
            <xm:f>'List Data'!$A$2:$A$6</xm:f>
          </x14:formula1>
          <xm:sqref>D27:H27</xm:sqref>
        </x14:dataValidation>
        <x14:dataValidation type="list" allowBlank="1" showInputMessage="1" showErrorMessage="1" prompt="Select Concrete Class from list" xr:uid="{A3A299A7-BBA3-4FEA-936D-7841F9D14F5D}">
          <x14:formula1>
            <xm:f>'List Data'!$C$2:$C$19</xm:f>
          </x14:formula1>
          <xm:sqref>D11:H11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Z65"/>
  <sheetViews>
    <sheetView showGridLines="0" topLeftCell="A18" zoomScaleNormal="100" zoomScaleSheetLayoutView="100" workbookViewId="0">
      <selection activeCell="D45" sqref="D45:E45"/>
    </sheetView>
  </sheetViews>
  <sheetFormatPr defaultRowHeight="12.75" x14ac:dyDescent="0.2"/>
  <cols>
    <col min="1" max="2" width="10.28515625" customWidth="1"/>
    <col min="3" max="3" width="8.7109375" bestFit="1" customWidth="1"/>
    <col min="4" max="6" width="13.85546875" bestFit="1" customWidth="1"/>
    <col min="7" max="7" width="15" bestFit="1" customWidth="1"/>
    <col min="8" max="8" width="13.85546875" bestFit="1" customWidth="1"/>
    <col min="9" max="9" width="13.85546875" customWidth="1"/>
    <col min="10" max="10" width="12.85546875" customWidth="1"/>
    <col min="11" max="11" width="11.7109375" customWidth="1"/>
    <col min="19" max="29" width="8.85546875" customWidth="1"/>
  </cols>
  <sheetData>
    <row r="1" spans="1:26" ht="15" x14ac:dyDescent="0.2">
      <c r="A1" s="753" t="s">
        <v>6</v>
      </c>
      <c r="B1" s="753"/>
      <c r="C1" s="762" t="str">
        <f>IF(ISBLANK('Original Submittal Form'!D13),"",'Original Submittal Form'!D13)</f>
        <v/>
      </c>
      <c r="D1" s="762"/>
      <c r="E1" s="762"/>
      <c r="F1" s="583"/>
      <c r="G1" s="724" t="s">
        <v>41</v>
      </c>
      <c r="H1" s="808" t="str">
        <f>IF(ISBLANK('Original Submittal Form'!D30),"",'Original Submittal Form'!D30)</f>
        <v/>
      </c>
      <c r="I1" s="808"/>
      <c r="J1" s="808"/>
      <c r="K1" s="583"/>
      <c r="X1" s="4"/>
    </row>
    <row r="2" spans="1:26" ht="15" x14ac:dyDescent="0.2">
      <c r="A2" s="753" t="s">
        <v>34</v>
      </c>
      <c r="B2" s="753"/>
      <c r="C2" s="785" t="str">
        <f>IF(ISBLANK('Original Submittal Form'!D14),"",'Original Submittal Form'!D14)</f>
        <v/>
      </c>
      <c r="D2" s="785"/>
      <c r="E2" s="785"/>
      <c r="F2" s="583"/>
      <c r="G2" s="724" t="s">
        <v>63</v>
      </c>
      <c r="H2" s="809" t="str">
        <f>IF(ISBLANK('Original Submittal Form'!D26),"",'Original Submittal Form'!D26)</f>
        <v/>
      </c>
      <c r="I2" s="809"/>
      <c r="J2" s="809"/>
      <c r="K2" s="583"/>
      <c r="X2" s="4"/>
      <c r="Y2" s="4"/>
    </row>
    <row r="3" spans="1:26" ht="15" x14ac:dyDescent="0.2">
      <c r="A3" s="753" t="s">
        <v>4</v>
      </c>
      <c r="B3" s="753"/>
      <c r="C3" s="785" t="str">
        <f>IF(ISBLANK('Original Submittal Form'!D18),"",'Original Submittal Form'!D18)</f>
        <v/>
      </c>
      <c r="D3" s="785"/>
      <c r="E3" s="785"/>
      <c r="F3" s="722"/>
      <c r="G3" s="724" t="s">
        <v>43</v>
      </c>
      <c r="H3" s="809" t="str">
        <f>IF(ISBLANK('Original Submittal Form'!D27),"",'Original Submittal Form'!D27)</f>
        <v/>
      </c>
      <c r="I3" s="809"/>
      <c r="J3" s="809"/>
      <c r="K3" s="583"/>
      <c r="X3" s="4"/>
    </row>
    <row r="4" spans="1:26" ht="15" x14ac:dyDescent="0.2">
      <c r="A4" s="753" t="s">
        <v>56</v>
      </c>
      <c r="B4" s="753"/>
      <c r="C4" s="785" t="str">
        <f>IF(ISBLANK('Original Submittal Form'!D19),"",'Original Submittal Form'!D19)</f>
        <v/>
      </c>
      <c r="D4" s="785"/>
      <c r="E4" s="785"/>
      <c r="F4" s="583"/>
      <c r="G4" s="724" t="s">
        <v>296</v>
      </c>
      <c r="H4" s="809" t="str">
        <f>IF(ISBLANK('Original Submittal Form'!D11),"",'Original Submittal Form'!D11)</f>
        <v/>
      </c>
      <c r="I4" s="809"/>
      <c r="J4" s="809"/>
      <c r="K4" s="583"/>
      <c r="X4" s="4"/>
    </row>
    <row r="5" spans="1:26" ht="15" x14ac:dyDescent="0.2">
      <c r="A5" s="753" t="s">
        <v>39</v>
      </c>
      <c r="B5" s="753"/>
      <c r="C5" s="754"/>
      <c r="D5" s="754"/>
      <c r="E5" s="754"/>
      <c r="F5" s="723"/>
      <c r="G5" s="2"/>
      <c r="H5" s="2"/>
      <c r="I5" s="2"/>
      <c r="J5" s="2"/>
      <c r="K5" s="2"/>
      <c r="X5" s="4"/>
    </row>
    <row r="6" spans="1:26" ht="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X6" s="4"/>
    </row>
    <row r="7" spans="1:26" ht="15.75" x14ac:dyDescent="0.25">
      <c r="B7" s="726" t="s">
        <v>205</v>
      </c>
      <c r="C7" s="726"/>
      <c r="D7" s="726"/>
      <c r="E7" s="726"/>
      <c r="F7" s="726"/>
      <c r="G7" s="726"/>
      <c r="H7" s="726"/>
      <c r="I7" s="2"/>
      <c r="J7" s="2"/>
      <c r="K7" s="2"/>
      <c r="X7" s="4"/>
    </row>
    <row r="8" spans="1:26" ht="15.75" thickBot="1" x14ac:dyDescent="0.25">
      <c r="A8" s="2"/>
      <c r="B8" s="2"/>
      <c r="C8" s="2"/>
      <c r="D8" s="3" t="s">
        <v>0</v>
      </c>
      <c r="E8" s="3" t="s">
        <v>1</v>
      </c>
      <c r="F8" s="3" t="s">
        <v>2</v>
      </c>
      <c r="G8" s="3" t="s">
        <v>184</v>
      </c>
      <c r="H8" s="3" t="s">
        <v>12</v>
      </c>
      <c r="I8" s="3" t="s">
        <v>13</v>
      </c>
      <c r="J8" s="2"/>
      <c r="K8" s="2"/>
      <c r="X8" s="4"/>
      <c r="Z8" s="4"/>
    </row>
    <row r="9" spans="1:26" ht="15" x14ac:dyDescent="0.2">
      <c r="A9" s="772" t="s">
        <v>7</v>
      </c>
      <c r="B9" s="772"/>
      <c r="C9" s="8"/>
      <c r="D9" s="9"/>
      <c r="E9" s="9"/>
      <c r="F9" s="9"/>
      <c r="G9" s="9"/>
      <c r="H9" s="9"/>
      <c r="I9" s="9"/>
      <c r="J9" s="2"/>
      <c r="K9" s="2"/>
      <c r="X9" s="4"/>
      <c r="Z9" s="4"/>
    </row>
    <row r="10" spans="1:26" ht="15" x14ac:dyDescent="0.2">
      <c r="A10" s="772" t="s">
        <v>8</v>
      </c>
      <c r="B10" s="772"/>
      <c r="C10" s="8"/>
      <c r="D10" s="10"/>
      <c r="E10" s="10"/>
      <c r="F10" s="10"/>
      <c r="G10" s="10"/>
      <c r="H10" s="10"/>
      <c r="I10" s="10"/>
      <c r="J10" s="2"/>
      <c r="K10" s="2"/>
      <c r="X10" s="4"/>
      <c r="Z10" s="4"/>
    </row>
    <row r="11" spans="1:26" ht="15" x14ac:dyDescent="0.2">
      <c r="A11" s="772" t="s">
        <v>9</v>
      </c>
      <c r="B11" s="772"/>
      <c r="C11" s="8"/>
      <c r="D11" s="11"/>
      <c r="E11" s="11"/>
      <c r="F11" s="11"/>
      <c r="G11" s="11"/>
      <c r="H11" s="11"/>
      <c r="I11" s="11"/>
      <c r="J11" s="2"/>
      <c r="K11" s="2"/>
      <c r="X11" s="4"/>
      <c r="Z11" s="4"/>
    </row>
    <row r="12" spans="1:26" ht="15" x14ac:dyDescent="0.2">
      <c r="A12" s="772" t="s">
        <v>10</v>
      </c>
      <c r="B12" s="772"/>
      <c r="C12" s="8"/>
      <c r="D12" s="13"/>
      <c r="E12" s="13"/>
      <c r="F12" s="13"/>
      <c r="G12" s="13"/>
      <c r="H12" s="13"/>
      <c r="I12" s="13"/>
      <c r="J12" s="2"/>
      <c r="K12" s="2"/>
      <c r="X12" s="4"/>
    </row>
    <row r="13" spans="1:26" ht="15.75" thickBot="1" x14ac:dyDescent="0.25">
      <c r="A13" s="772" t="s">
        <v>11</v>
      </c>
      <c r="B13" s="772"/>
      <c r="C13" s="8"/>
      <c r="D13" s="13"/>
      <c r="E13" s="13"/>
      <c r="F13" s="13"/>
      <c r="G13" s="13"/>
      <c r="H13" s="15"/>
      <c r="I13" s="15"/>
      <c r="J13" s="2"/>
      <c r="K13" s="2"/>
      <c r="X13" s="4"/>
    </row>
    <row r="14" spans="1:26" ht="15.75" thickBot="1" x14ac:dyDescent="0.25">
      <c r="A14" s="772" t="s">
        <v>298</v>
      </c>
      <c r="B14" s="772"/>
      <c r="C14" s="8"/>
      <c r="D14" s="14"/>
      <c r="E14" s="14"/>
      <c r="F14" s="14"/>
      <c r="G14" s="14"/>
      <c r="H14" s="3"/>
      <c r="I14" s="3"/>
      <c r="J14" s="2"/>
      <c r="K14" s="2"/>
      <c r="S14" s="4"/>
      <c r="X14" s="4"/>
    </row>
    <row r="15" spans="1:26" ht="15" x14ac:dyDescent="0.2">
      <c r="A15" s="784" t="s">
        <v>299</v>
      </c>
      <c r="B15" s="784"/>
      <c r="C15" s="784"/>
      <c r="D15" s="784"/>
      <c r="E15" s="2"/>
      <c r="F15" s="2"/>
      <c r="G15" s="2"/>
      <c r="H15" s="2"/>
      <c r="I15" s="800" t="s">
        <v>10</v>
      </c>
      <c r="J15" s="2"/>
      <c r="K15" s="2"/>
      <c r="S15" s="4"/>
      <c r="X15" s="4"/>
    </row>
    <row r="16" spans="1:26" ht="15.75" thickBot="1" x14ac:dyDescent="0.25">
      <c r="A16" s="2"/>
      <c r="B16" s="2"/>
      <c r="C16" s="2"/>
      <c r="D16" s="794" t="s">
        <v>37</v>
      </c>
      <c r="E16" s="794"/>
      <c r="F16" s="807" t="s">
        <v>38</v>
      </c>
      <c r="G16" s="807"/>
      <c r="H16" s="3" t="s">
        <v>23</v>
      </c>
      <c r="I16" s="800"/>
      <c r="J16" s="2"/>
      <c r="K16" s="2"/>
      <c r="X16" s="4"/>
    </row>
    <row r="17" spans="1:24" ht="15" x14ac:dyDescent="0.2">
      <c r="A17" s="772" t="s">
        <v>17</v>
      </c>
      <c r="B17" s="772"/>
      <c r="C17" s="8"/>
      <c r="D17" s="810"/>
      <c r="E17" s="811"/>
      <c r="F17" s="812"/>
      <c r="G17" s="813"/>
      <c r="H17" s="9"/>
      <c r="I17" s="744"/>
      <c r="J17" s="2"/>
      <c r="K17" s="2"/>
      <c r="X17" s="4"/>
    </row>
    <row r="18" spans="1:24" ht="15" x14ac:dyDescent="0.2">
      <c r="A18" s="772" t="s">
        <v>16</v>
      </c>
      <c r="B18" s="772"/>
      <c r="C18" s="8"/>
      <c r="D18" s="778"/>
      <c r="E18" s="779"/>
      <c r="F18" s="801"/>
      <c r="G18" s="802"/>
      <c r="H18" s="10"/>
      <c r="I18" s="12"/>
      <c r="J18" s="2"/>
      <c r="K18" s="2"/>
      <c r="X18" s="4"/>
    </row>
    <row r="19" spans="1:24" ht="15" x14ac:dyDescent="0.2">
      <c r="A19" s="772" t="s">
        <v>19</v>
      </c>
      <c r="B19" s="772"/>
      <c r="C19" s="8"/>
      <c r="D19" s="778"/>
      <c r="E19" s="779"/>
      <c r="F19" s="801"/>
      <c r="G19" s="802"/>
      <c r="H19" s="10"/>
      <c r="I19" s="12"/>
      <c r="J19" s="2"/>
      <c r="K19" s="2"/>
      <c r="X19" s="4"/>
    </row>
    <row r="20" spans="1:24" ht="15.75" thickBot="1" x14ac:dyDescent="0.25">
      <c r="A20" s="772" t="s">
        <v>30</v>
      </c>
      <c r="B20" s="772"/>
      <c r="C20" s="8"/>
      <c r="D20" s="778"/>
      <c r="E20" s="779"/>
      <c r="F20" s="801"/>
      <c r="G20" s="802"/>
      <c r="H20" s="10"/>
      <c r="I20" s="16"/>
      <c r="J20" s="2"/>
      <c r="K20" s="2"/>
      <c r="X20" s="4"/>
    </row>
    <row r="21" spans="1:24" ht="15" x14ac:dyDescent="0.2">
      <c r="A21" s="772" t="s">
        <v>20</v>
      </c>
      <c r="B21" s="772"/>
      <c r="C21" s="8"/>
      <c r="D21" s="778"/>
      <c r="E21" s="779"/>
      <c r="F21" s="801"/>
      <c r="G21" s="802"/>
      <c r="H21" s="575"/>
      <c r="I21" s="805" t="s">
        <v>204</v>
      </c>
      <c r="J21" s="806"/>
      <c r="K21" s="2"/>
      <c r="X21" s="4"/>
    </row>
    <row r="22" spans="1:24" ht="15" x14ac:dyDescent="0.2">
      <c r="A22" s="772" t="s">
        <v>21</v>
      </c>
      <c r="B22" s="772"/>
      <c r="C22" s="8"/>
      <c r="D22" s="778"/>
      <c r="E22" s="779"/>
      <c r="F22" s="801"/>
      <c r="G22" s="802"/>
      <c r="H22" s="10"/>
      <c r="I22" s="793"/>
      <c r="J22" s="794"/>
      <c r="K22" s="2"/>
      <c r="X22" s="4"/>
    </row>
    <row r="23" spans="1:24" ht="15" x14ac:dyDescent="0.2">
      <c r="A23" s="772" t="s">
        <v>22</v>
      </c>
      <c r="B23" s="772"/>
      <c r="C23" s="8"/>
      <c r="D23" s="803"/>
      <c r="E23" s="804"/>
      <c r="F23" s="801"/>
      <c r="G23" s="802"/>
      <c r="H23" s="10"/>
      <c r="I23" s="793"/>
      <c r="J23" s="794"/>
      <c r="K23" s="2"/>
      <c r="X23" s="4"/>
    </row>
    <row r="24" spans="1:24" ht="15" x14ac:dyDescent="0.2">
      <c r="A24" s="8"/>
      <c r="B24" s="8" t="s">
        <v>64</v>
      </c>
      <c r="C24" s="8"/>
      <c r="D24" s="795"/>
      <c r="E24" s="796"/>
      <c r="F24" s="795"/>
      <c r="G24" s="796"/>
      <c r="H24" s="582"/>
      <c r="I24" s="793"/>
      <c r="J24" s="794"/>
      <c r="K24" s="2"/>
      <c r="X24" s="4"/>
    </row>
    <row r="25" spans="1:24" ht="15" x14ac:dyDescent="0.2">
      <c r="A25" s="8"/>
      <c r="B25" s="8" t="s">
        <v>229</v>
      </c>
      <c r="C25" s="8"/>
      <c r="D25" s="799"/>
      <c r="E25" s="799"/>
      <c r="F25" s="799"/>
      <c r="G25" s="799"/>
      <c r="H25" s="10"/>
      <c r="I25" s="3"/>
      <c r="J25" s="3"/>
      <c r="K25" s="2"/>
      <c r="X25" s="4"/>
    </row>
    <row r="26" spans="1:24" ht="15.75" thickBot="1" x14ac:dyDescent="0.25">
      <c r="A26" s="2"/>
      <c r="B26" s="8" t="s">
        <v>267</v>
      </c>
      <c r="C26" s="2"/>
      <c r="D26" s="798"/>
      <c r="E26" s="798"/>
      <c r="F26" s="798"/>
      <c r="G26" s="798"/>
      <c r="H26" s="637"/>
      <c r="I26" s="2"/>
      <c r="J26" s="2"/>
      <c r="K26" s="2"/>
      <c r="X26" s="4"/>
    </row>
    <row r="27" spans="1:24" ht="15" x14ac:dyDescent="0.2">
      <c r="A27" s="2"/>
      <c r="B27" s="8"/>
      <c r="C27" s="2"/>
      <c r="D27" s="725"/>
      <c r="E27" s="725"/>
      <c r="F27" s="725"/>
      <c r="G27" s="725"/>
      <c r="H27" s="725"/>
      <c r="I27" s="2"/>
      <c r="J27" s="2"/>
      <c r="K27" s="2"/>
      <c r="X27" s="4"/>
    </row>
    <row r="28" spans="1:24" ht="15.75" x14ac:dyDescent="0.2">
      <c r="B28" s="602" t="s">
        <v>24</v>
      </c>
      <c r="C28" s="602"/>
      <c r="K28" s="616"/>
      <c r="X28" s="4"/>
    </row>
    <row r="29" spans="1:24" ht="29.25" customHeight="1" thickBot="1" x14ac:dyDescent="0.25">
      <c r="A29" s="727"/>
      <c r="B29" s="797" t="s">
        <v>310</v>
      </c>
      <c r="C29" s="797"/>
      <c r="D29" s="797"/>
      <c r="E29" s="797"/>
      <c r="F29" s="797"/>
      <c r="G29" s="797"/>
      <c r="H29" s="797"/>
      <c r="I29" s="797"/>
      <c r="J29" s="797"/>
      <c r="K29" s="616"/>
      <c r="X29" s="4"/>
    </row>
    <row r="30" spans="1:24" ht="15" x14ac:dyDescent="0.2">
      <c r="A30" s="788" t="s">
        <v>296</v>
      </c>
      <c r="B30" s="788"/>
      <c r="C30" s="569" t="s">
        <v>253</v>
      </c>
      <c r="D30" s="740" t="str">
        <f>H4</f>
        <v/>
      </c>
      <c r="E30" s="623"/>
      <c r="F30" s="721"/>
      <c r="G30" s="613"/>
      <c r="H30" s="622"/>
      <c r="I30" s="613"/>
      <c r="J30" s="622"/>
      <c r="K30" s="613"/>
      <c r="X30" s="4"/>
    </row>
    <row r="31" spans="1:24" ht="15" x14ac:dyDescent="0.2">
      <c r="A31" s="772" t="s">
        <v>27</v>
      </c>
      <c r="B31" s="772"/>
      <c r="C31" s="619" t="s">
        <v>254</v>
      </c>
      <c r="D31" s="590"/>
      <c r="E31" s="5"/>
      <c r="K31" s="583"/>
      <c r="X31" s="4"/>
    </row>
    <row r="32" spans="1:24" ht="15" x14ac:dyDescent="0.2">
      <c r="A32" s="772" t="s">
        <v>17</v>
      </c>
      <c r="B32" s="772"/>
      <c r="C32" s="619" t="s">
        <v>254</v>
      </c>
      <c r="D32" s="590"/>
      <c r="E32" s="6" t="str">
        <f>IF(ISBLANK(D32),"",(D32/(D$32+D$33+D$34+D$35)))</f>
        <v/>
      </c>
      <c r="X32" s="4"/>
    </row>
    <row r="33" spans="1:24" ht="15" x14ac:dyDescent="0.2">
      <c r="A33" s="772" t="s">
        <v>16</v>
      </c>
      <c r="B33" s="772"/>
      <c r="C33" s="619" t="s">
        <v>254</v>
      </c>
      <c r="D33" s="590"/>
      <c r="E33" s="6" t="str">
        <f>IF(ISBLANK(D33),"",(D33/(D$32+D$33+D$34+D$35)))</f>
        <v/>
      </c>
      <c r="X33" s="4"/>
    </row>
    <row r="34" spans="1:24" ht="15" x14ac:dyDescent="0.2">
      <c r="A34" s="772" t="s">
        <v>19</v>
      </c>
      <c r="B34" s="772"/>
      <c r="C34" s="619" t="s">
        <v>254</v>
      </c>
      <c r="D34" s="590"/>
      <c r="E34" s="6" t="str">
        <f>IF(ISBLANK(D34),"",(D34/(D$32+D$33+D$34+D$35)))</f>
        <v/>
      </c>
      <c r="X34" s="4"/>
    </row>
    <row r="35" spans="1:24" ht="15" x14ac:dyDescent="0.2">
      <c r="A35" s="772" t="s">
        <v>30</v>
      </c>
      <c r="B35" s="772"/>
      <c r="C35" s="619" t="s">
        <v>254</v>
      </c>
      <c r="D35" s="590"/>
      <c r="E35" s="6" t="str">
        <f>IF(ISBLANK(D35),"",(D35/(D$32+D$33+D$34+D$35)))</f>
        <v/>
      </c>
      <c r="X35" s="4"/>
    </row>
    <row r="36" spans="1:24" ht="15" x14ac:dyDescent="0.2">
      <c r="A36" s="772" t="s">
        <v>25</v>
      </c>
      <c r="B36" s="772"/>
      <c r="C36" s="8"/>
      <c r="D36" s="786" t="str">
        <f>IF(ISBLANK(D31),"",(D31/(D32+D33+D34+D35)))</f>
        <v/>
      </c>
      <c r="E36" s="787"/>
      <c r="X36" s="4"/>
    </row>
    <row r="37" spans="1:24" ht="15" x14ac:dyDescent="0.2">
      <c r="A37" s="788" t="s">
        <v>206</v>
      </c>
      <c r="B37" s="788"/>
      <c r="C37" s="601"/>
      <c r="D37" s="789"/>
      <c r="E37" s="790"/>
      <c r="F37" s="729" t="s">
        <v>297</v>
      </c>
      <c r="X37" s="4"/>
    </row>
    <row r="38" spans="1:24" ht="15" x14ac:dyDescent="0.2">
      <c r="A38" s="772" t="s">
        <v>12</v>
      </c>
      <c r="B38" s="772"/>
      <c r="C38" s="618" t="s">
        <v>255</v>
      </c>
      <c r="D38" s="590"/>
      <c r="E38" s="302" t="str">
        <f t="shared" ref="E38" si="0">IF(ISBLANK(D38),"0.0%",ROUND((D38/(D$38+D$39+D$40+D$41+D$42+D$43)),3))</f>
        <v>0.0%</v>
      </c>
      <c r="X38" s="4"/>
    </row>
    <row r="39" spans="1:24" ht="15.75" x14ac:dyDescent="0.25">
      <c r="A39" s="772" t="s">
        <v>13</v>
      </c>
      <c r="B39" s="772"/>
      <c r="C39" s="618" t="s">
        <v>255</v>
      </c>
      <c r="D39" s="590"/>
      <c r="E39" s="302" t="str">
        <f>IF(ISBLANK(D39),"0.0%",ROUND((D39/(D$38+D$39+D$40+D$41+D$42+D$43)),3))</f>
        <v>0.0%</v>
      </c>
      <c r="F39" s="719" t="s">
        <v>290</v>
      </c>
      <c r="G39" s="718"/>
      <c r="H39" s="717"/>
      <c r="I39" s="718"/>
      <c r="J39" s="717"/>
      <c r="X39" s="4"/>
    </row>
    <row r="40" spans="1:24" ht="15" x14ac:dyDescent="0.2">
      <c r="A40" s="772" t="s">
        <v>0</v>
      </c>
      <c r="B40" s="772"/>
      <c r="C40" s="618" t="s">
        <v>255</v>
      </c>
      <c r="D40" s="590"/>
      <c r="E40" s="302" t="str">
        <f t="shared" ref="E40:E43" si="1">IF(ISBLANK(D40),"0.0%",ROUND((D40/(D$38+D$39+D$40+D$41+D$42+D$43)),3))</f>
        <v>0.0%</v>
      </c>
      <c r="F40" s="702"/>
      <c r="G40" s="703"/>
      <c r="H40" s="704"/>
      <c r="I40" s="720" t="s">
        <v>289</v>
      </c>
      <c r="J40" s="703"/>
      <c r="X40" s="4"/>
    </row>
    <row r="41" spans="1:24" ht="15" x14ac:dyDescent="0.2">
      <c r="A41" s="772" t="s">
        <v>1</v>
      </c>
      <c r="B41" s="772"/>
      <c r="C41" s="618" t="s">
        <v>255</v>
      </c>
      <c r="D41" s="590"/>
      <c r="E41" s="302" t="str">
        <f t="shared" si="1"/>
        <v>0.0%</v>
      </c>
      <c r="F41" s="705"/>
      <c r="H41" s="706"/>
      <c r="I41" s="705"/>
      <c r="X41" s="4"/>
    </row>
    <row r="42" spans="1:24" ht="15" x14ac:dyDescent="0.2">
      <c r="A42" s="772" t="s">
        <v>2</v>
      </c>
      <c r="B42" s="772"/>
      <c r="C42" s="618" t="s">
        <v>255</v>
      </c>
      <c r="D42" s="590"/>
      <c r="E42" s="302" t="str">
        <f t="shared" si="1"/>
        <v>0.0%</v>
      </c>
      <c r="F42" s="705"/>
      <c r="H42" s="706"/>
      <c r="I42" s="705"/>
      <c r="X42" s="4"/>
    </row>
    <row r="43" spans="1:24" ht="15" customHeight="1" x14ac:dyDescent="0.2">
      <c r="A43" s="772" t="s">
        <v>184</v>
      </c>
      <c r="B43" s="772"/>
      <c r="C43" s="618" t="s">
        <v>255</v>
      </c>
      <c r="D43" s="590"/>
      <c r="E43" s="302" t="str">
        <f t="shared" si="1"/>
        <v>0.0%</v>
      </c>
      <c r="F43" s="705"/>
      <c r="H43" s="706"/>
      <c r="J43" s="2"/>
      <c r="K43" s="614"/>
      <c r="X43" s="4"/>
    </row>
    <row r="44" spans="1:24" ht="15" x14ac:dyDescent="0.2">
      <c r="A44" s="772" t="s">
        <v>26</v>
      </c>
      <c r="B44" s="772"/>
      <c r="C44" s="601"/>
      <c r="D44" s="791"/>
      <c r="E44" s="792"/>
      <c r="F44" s="705"/>
      <c r="H44" s="706"/>
      <c r="I44" s="711"/>
      <c r="J44" s="712"/>
      <c r="K44" s="728"/>
      <c r="X44" s="4"/>
    </row>
    <row r="45" spans="1:24" ht="15" x14ac:dyDescent="0.2">
      <c r="A45" s="772" t="s">
        <v>218</v>
      </c>
      <c r="B45" s="772"/>
      <c r="C45" s="601"/>
      <c r="D45" s="778"/>
      <c r="E45" s="779"/>
      <c r="H45" s="706"/>
      <c r="I45" s="710" t="s">
        <v>5</v>
      </c>
      <c r="J45" s="2"/>
      <c r="K45" s="3"/>
      <c r="X45" s="4"/>
    </row>
    <row r="46" spans="1:24" ht="15" x14ac:dyDescent="0.2">
      <c r="A46" s="772" t="s">
        <v>228</v>
      </c>
      <c r="B46" s="772"/>
      <c r="C46" s="601"/>
      <c r="D46" s="17"/>
      <c r="E46" s="741"/>
      <c r="F46" s="705"/>
      <c r="H46" s="706"/>
      <c r="J46" s="2"/>
      <c r="K46" s="615"/>
      <c r="X46" s="4"/>
    </row>
    <row r="47" spans="1:24" ht="15" x14ac:dyDescent="0.2">
      <c r="A47" s="772" t="s">
        <v>227</v>
      </c>
      <c r="B47" s="772"/>
      <c r="C47" s="601"/>
      <c r="D47" s="17"/>
      <c r="E47" s="741"/>
      <c r="F47" s="705"/>
      <c r="H47" s="706"/>
      <c r="I47" s="713"/>
      <c r="J47" s="714"/>
      <c r="K47" s="615"/>
      <c r="X47" s="4"/>
    </row>
    <row r="48" spans="1:24" ht="15" x14ac:dyDescent="0.2">
      <c r="A48" s="772" t="s">
        <v>226</v>
      </c>
      <c r="B48" s="772"/>
      <c r="C48" s="601"/>
      <c r="D48" s="17"/>
      <c r="E48" s="741"/>
      <c r="F48" s="705"/>
      <c r="H48" s="706"/>
      <c r="I48" s="710" t="s">
        <v>294</v>
      </c>
      <c r="J48" s="703"/>
      <c r="K48" s="615"/>
      <c r="X48" s="4"/>
    </row>
    <row r="49" spans="1:24" ht="14.25" x14ac:dyDescent="0.2">
      <c r="A49" s="772" t="s">
        <v>225</v>
      </c>
      <c r="B49" s="772"/>
      <c r="C49" s="601"/>
      <c r="D49" s="17"/>
      <c r="E49" s="742"/>
      <c r="F49" s="705"/>
      <c r="H49" s="706"/>
      <c r="I49" s="705"/>
      <c r="K49" s="615"/>
      <c r="X49" s="4"/>
    </row>
    <row r="50" spans="1:24" ht="14.25" x14ac:dyDescent="0.2">
      <c r="A50" s="772" t="s">
        <v>224</v>
      </c>
      <c r="B50" s="772"/>
      <c r="C50" s="601"/>
      <c r="D50" s="581"/>
      <c r="E50" s="741"/>
      <c r="F50" s="705"/>
      <c r="H50" s="706"/>
      <c r="I50" s="705"/>
      <c r="K50" s="615"/>
      <c r="X50" s="4"/>
    </row>
    <row r="51" spans="1:24" ht="14.25" x14ac:dyDescent="0.2">
      <c r="A51" s="772" t="s">
        <v>260</v>
      </c>
      <c r="B51" s="772"/>
      <c r="C51" s="8"/>
      <c r="D51" s="17"/>
      <c r="E51" s="741"/>
      <c r="F51" s="707"/>
      <c r="G51" s="708"/>
      <c r="H51" s="709"/>
      <c r="I51" s="707"/>
      <c r="J51" s="708"/>
      <c r="K51" s="615"/>
      <c r="X51" s="4"/>
    </row>
    <row r="52" spans="1:24" ht="15.75" customHeight="1" x14ac:dyDescent="0.2">
      <c r="A52" s="772" t="s">
        <v>28</v>
      </c>
      <c r="B52" s="772"/>
      <c r="C52" s="8"/>
      <c r="D52" s="774" t="str">
        <f>IF(ISBLANK(D31),"",((D31/62.4)+(D32/(62.4*$I$17))+(IF($I18="",0,((D33/(62.4*$I$18)))))+(IF($I19="",0,((D34/(62.4*$I$19)))))+(IF($I20="",0,((D35/(62.4*$I$20)))))+(IF($H12="",0,((D38/(62.4*$H$12)))))+(IF($I12="",0,((D39/(62.4*$I$12)))))+(IF($D12="",0,((D40/(62.4*$D$12)))))+(IF($E12="",0,((D41/(62.4*$E$12)))))+(IF($F12="",0,((D42/(62.4*$F$12)))))+(IF($G12="",0,((D43/(62.4*$G$12)))))+((D44/100)*27)))</f>
        <v/>
      </c>
      <c r="E52" s="775"/>
      <c r="F52" s="780" t="s">
        <v>321</v>
      </c>
      <c r="G52" s="781"/>
      <c r="H52" s="781"/>
      <c r="I52" s="781"/>
      <c r="J52" s="781"/>
      <c r="K52" s="716"/>
      <c r="X52" s="4"/>
    </row>
    <row r="53" spans="1:24" ht="15.75" customHeight="1" thickBot="1" x14ac:dyDescent="0.25">
      <c r="A53" s="772" t="s">
        <v>33</v>
      </c>
      <c r="B53" s="772"/>
      <c r="C53" s="8"/>
      <c r="D53" s="776"/>
      <c r="E53" s="777"/>
      <c r="F53" s="782"/>
      <c r="G53" s="783"/>
      <c r="H53" s="783"/>
      <c r="I53" s="783"/>
      <c r="J53" s="783"/>
      <c r="K53" s="716"/>
      <c r="X53" s="4"/>
    </row>
    <row r="54" spans="1:24" ht="15" customHeight="1" x14ac:dyDescent="0.2">
      <c r="A54" s="771"/>
      <c r="B54" s="771"/>
      <c r="C54" s="771"/>
      <c r="D54" s="771"/>
      <c r="E54" s="771"/>
      <c r="F54" s="771"/>
      <c r="G54" s="771"/>
      <c r="H54" s="771"/>
      <c r="I54" s="771"/>
      <c r="J54" s="771"/>
      <c r="K54" s="617"/>
      <c r="X54" s="4"/>
    </row>
    <row r="55" spans="1:24" ht="15" customHeight="1" x14ac:dyDescent="0.2">
      <c r="A55" s="771"/>
      <c r="B55" s="771"/>
      <c r="C55" s="771"/>
      <c r="D55" s="771"/>
      <c r="E55" s="771"/>
      <c r="F55" s="771"/>
      <c r="G55" s="771"/>
      <c r="H55" s="771"/>
      <c r="I55" s="771"/>
      <c r="J55" s="771"/>
      <c r="K55" s="617"/>
      <c r="X55" s="4"/>
    </row>
    <row r="56" spans="1:24" ht="20.100000000000001" customHeight="1" x14ac:dyDescent="0.2">
      <c r="A56" s="773" t="s">
        <v>29</v>
      </c>
      <c r="B56" s="773"/>
      <c r="C56" s="600"/>
      <c r="D56" s="765"/>
      <c r="E56" s="766"/>
      <c r="F56" s="766"/>
      <c r="G56" s="766"/>
      <c r="H56" s="766"/>
      <c r="I56" s="766"/>
      <c r="J56" s="767"/>
      <c r="K56" s="3"/>
      <c r="X56" s="4"/>
    </row>
    <row r="57" spans="1:24" ht="20.100000000000001" customHeight="1" x14ac:dyDescent="0.2">
      <c r="A57" s="2"/>
      <c r="B57" s="2"/>
      <c r="C57" s="2"/>
      <c r="D57" s="768"/>
      <c r="E57" s="769"/>
      <c r="F57" s="769"/>
      <c r="G57" s="769"/>
      <c r="H57" s="769"/>
      <c r="I57" s="769"/>
      <c r="J57" s="770"/>
      <c r="K57" s="2"/>
      <c r="X57" s="4"/>
    </row>
    <row r="58" spans="1:24" ht="15" x14ac:dyDescent="0.2">
      <c r="K58" s="638"/>
      <c r="X58" s="4"/>
    </row>
    <row r="59" spans="1:24" ht="15" x14ac:dyDescent="0.2">
      <c r="K59" s="638"/>
      <c r="X59" s="4"/>
    </row>
    <row r="60" spans="1:24" x14ac:dyDescent="0.2">
      <c r="X60" s="4"/>
    </row>
    <row r="61" spans="1:24" x14ac:dyDescent="0.2">
      <c r="X61" s="4"/>
    </row>
    <row r="62" spans="1:24" x14ac:dyDescent="0.2">
      <c r="X62" s="4"/>
    </row>
    <row r="63" spans="1:24" x14ac:dyDescent="0.2">
      <c r="X63" s="4"/>
    </row>
    <row r="64" spans="1:24" x14ac:dyDescent="0.2">
      <c r="X64" s="4"/>
    </row>
    <row r="65" spans="24:24" x14ac:dyDescent="0.2">
      <c r="X65" s="4"/>
    </row>
  </sheetData>
  <sheetProtection algorithmName="SHA-512" hashValue="q2KC5w9KONtViDResIqxyEWTtl+qxE417AspC+qwF068D03iOgsT2Sp7Yn4FTo5TFZsBPOEdhpFUCcuaPadMzw==" saltValue="VuLAepbInVOvPszNn+CN7Q==" spinCount="100000" sheet="1" selectLockedCells="1"/>
  <dataConsolidate/>
  <mergeCells count="89">
    <mergeCell ref="D16:E16"/>
    <mergeCell ref="F22:G22"/>
    <mergeCell ref="F21:G21"/>
    <mergeCell ref="D17:E17"/>
    <mergeCell ref="D18:E18"/>
    <mergeCell ref="F17:G17"/>
    <mergeCell ref="F18:G18"/>
    <mergeCell ref="H1:J1"/>
    <mergeCell ref="C4:E4"/>
    <mergeCell ref="H2:J2"/>
    <mergeCell ref="H3:J3"/>
    <mergeCell ref="H4:J4"/>
    <mergeCell ref="I15:I16"/>
    <mergeCell ref="A9:B9"/>
    <mergeCell ref="F23:G23"/>
    <mergeCell ref="A21:B21"/>
    <mergeCell ref="D22:E22"/>
    <mergeCell ref="D23:E23"/>
    <mergeCell ref="A10:B10"/>
    <mergeCell ref="F19:G19"/>
    <mergeCell ref="F20:G20"/>
    <mergeCell ref="D19:E19"/>
    <mergeCell ref="D20:E20"/>
    <mergeCell ref="A20:B20"/>
    <mergeCell ref="I21:J21"/>
    <mergeCell ref="I22:J22"/>
    <mergeCell ref="D21:E21"/>
    <mergeCell ref="F16:G16"/>
    <mergeCell ref="I24:J24"/>
    <mergeCell ref="D24:E24"/>
    <mergeCell ref="F24:G24"/>
    <mergeCell ref="I23:J23"/>
    <mergeCell ref="A38:B38"/>
    <mergeCell ref="A35:B35"/>
    <mergeCell ref="A30:B30"/>
    <mergeCell ref="A31:B31"/>
    <mergeCell ref="A32:B32"/>
    <mergeCell ref="A34:B34"/>
    <mergeCell ref="A33:B33"/>
    <mergeCell ref="B29:J29"/>
    <mergeCell ref="D26:E26"/>
    <mergeCell ref="F26:G26"/>
    <mergeCell ref="F25:G25"/>
    <mergeCell ref="D25:E25"/>
    <mergeCell ref="A45:B45"/>
    <mergeCell ref="D36:E36"/>
    <mergeCell ref="A37:B37"/>
    <mergeCell ref="D37:E37"/>
    <mergeCell ref="A42:B42"/>
    <mergeCell ref="A41:B41"/>
    <mergeCell ref="A36:B36"/>
    <mergeCell ref="D44:E44"/>
    <mergeCell ref="A13:B13"/>
    <mergeCell ref="A14:B14"/>
    <mergeCell ref="A18:B18"/>
    <mergeCell ref="A39:B39"/>
    <mergeCell ref="A40:B40"/>
    <mergeCell ref="A1:B1"/>
    <mergeCell ref="A3:B3"/>
    <mergeCell ref="A4:B4"/>
    <mergeCell ref="A22:B22"/>
    <mergeCell ref="A23:B23"/>
    <mergeCell ref="A2:B2"/>
    <mergeCell ref="A15:D15"/>
    <mergeCell ref="A17:B17"/>
    <mergeCell ref="C1:E1"/>
    <mergeCell ref="C2:E2"/>
    <mergeCell ref="C3:E3"/>
    <mergeCell ref="C5:E5"/>
    <mergeCell ref="A5:B5"/>
    <mergeCell ref="A19:B19"/>
    <mergeCell ref="A11:B11"/>
    <mergeCell ref="A12:B12"/>
    <mergeCell ref="D56:J57"/>
    <mergeCell ref="A54:J55"/>
    <mergeCell ref="A43:B43"/>
    <mergeCell ref="A44:B44"/>
    <mergeCell ref="A56:B56"/>
    <mergeCell ref="A46:B46"/>
    <mergeCell ref="A50:B50"/>
    <mergeCell ref="A53:B53"/>
    <mergeCell ref="D52:E53"/>
    <mergeCell ref="A52:B52"/>
    <mergeCell ref="A51:B51"/>
    <mergeCell ref="A49:B49"/>
    <mergeCell ref="D45:E45"/>
    <mergeCell ref="A48:B48"/>
    <mergeCell ref="A47:B47"/>
    <mergeCell ref="F52:J53"/>
  </mergeCells>
  <phoneticPr fontId="0" type="noConversion"/>
  <dataValidations count="1">
    <dataValidation type="whole" allowBlank="1" showInputMessage="1" showErrorMessage="1" sqref="D33:D35" xr:uid="{00000000-0002-0000-0200-000001000000}">
      <formula1>1</formula1>
      <formula2>1000</formula2>
    </dataValidation>
  </dataValidations>
  <printOptions horizontalCentered="1"/>
  <pageMargins left="0.5" right="0.5" top="1" bottom="1" header="0.3" footer="0.3"/>
  <pageSetup scale="72" orientation="portrait" blackAndWhite="1" r:id="rId1"/>
  <headerFooter>
    <oddHeader>&amp;L&amp;G
MDT-MAT-008                             05/25&amp;C&amp;"Arial,Bold"&amp;14Contractor Mix Design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Select From List" xr:uid="{00000000-0002-0000-0200-000003000000}">
          <x14:formula1>
            <xm:f>'List Data'!$D$2:$D$6</xm:f>
          </x14:formula1>
          <xm:sqref>D14:G14</xm:sqref>
        </x14:dataValidation>
        <x14:dataValidation type="list" allowBlank="1" showInputMessage="1" showErrorMessage="1" prompt="Select From List" xr:uid="{00000000-0002-0000-0200-000004000000}">
          <x14:formula1>
            <xm:f>'List Data'!$F$2:$F$3</xm:f>
          </x14:formula1>
          <xm:sqref>H18</xm:sqref>
        </x14:dataValidation>
        <x14:dataValidation type="list" allowBlank="1" showInputMessage="1" showErrorMessage="1" prompt="Select From List" xr:uid="{00000000-0002-0000-0200-000005000000}">
          <x14:formula1>
            <xm:f>'List Data'!$G$2:$G$3</xm:f>
          </x14:formula1>
          <xm:sqref>H19</xm:sqref>
        </x14:dataValidation>
        <x14:dataValidation type="list" allowBlank="1" showInputMessage="1" showErrorMessage="1" xr:uid="{00000000-0002-0000-0200-000009000000}">
          <x14:formula1>
            <xm:f>'List Data'!$H$2:$H$3</xm:f>
          </x14:formula1>
          <xm:sqref>D37:E37</xm:sqref>
        </x14:dataValidation>
        <x14:dataValidation type="list" allowBlank="1" showInputMessage="1" showErrorMessage="1" prompt="Select From List" xr:uid="{4B3F9C38-F9A0-44DF-A07A-F02270D7CCF8}">
          <x14:formula1>
            <xm:f>'List Data'!$J$2:$J$3</xm:f>
          </x14:formula1>
          <xm:sqref>E46:E51</xm:sqref>
        </x14:dataValidation>
        <x14:dataValidation type="list" allowBlank="1" showInputMessage="1" showErrorMessage="1" xr:uid="{00000000-0002-0000-0200-000008000000}">
          <x14:formula1>
            <xm:f>'List Data'!$K$2:$K$9</xm:f>
          </x14:formula1>
          <xm:sqref>H22:H27</xm:sqref>
        </x14:dataValidation>
        <x14:dataValidation type="list" allowBlank="1" showInputMessage="1" showErrorMessage="1" prompt="Select From List" xr:uid="{3D3B0986-B764-434A-BB9B-63A4E99975B6}">
          <x14:formula1>
            <xm:f>'List Data'!$I$2:$I$9</xm:f>
          </x14:formula1>
          <xm:sqref>D45:E45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X53"/>
  <sheetViews>
    <sheetView showGridLines="0" zoomScaleNormal="100" zoomScaleSheetLayoutView="100" workbookViewId="0">
      <selection activeCell="B17" sqref="B17"/>
    </sheetView>
  </sheetViews>
  <sheetFormatPr defaultColWidth="9.140625" defaultRowHeight="15" x14ac:dyDescent="0.25"/>
  <cols>
    <col min="1" max="1" width="9" style="18" customWidth="1"/>
    <col min="2" max="5" width="8.7109375" style="18" customWidth="1"/>
    <col min="6" max="6" width="8.85546875" style="18" customWidth="1"/>
    <col min="7" max="7" width="8.7109375" style="18" customWidth="1"/>
    <col min="8" max="8" width="9.140625" style="18" customWidth="1"/>
    <col min="9" max="9" width="10.28515625" style="18" customWidth="1"/>
    <col min="10" max="10" width="9.7109375" style="18" customWidth="1"/>
    <col min="11" max="11" width="11.42578125" style="18" customWidth="1"/>
    <col min="12" max="15" width="2.28515625" style="18" customWidth="1"/>
    <col min="16" max="24" width="10.140625" style="18" customWidth="1"/>
    <col min="25" max="16384" width="9.140625" style="18"/>
  </cols>
  <sheetData>
    <row r="2" spans="1:24" x14ac:dyDescent="0.25">
      <c r="D2" s="587" t="s">
        <v>185</v>
      </c>
      <c r="E2" s="588"/>
      <c r="F2" s="589"/>
    </row>
    <row r="4" spans="1:24" ht="15" customHeight="1" x14ac:dyDescent="0.25">
      <c r="A4" s="65"/>
      <c r="B4" s="48"/>
      <c r="C4" s="48"/>
      <c r="D4" s="48"/>
      <c r="E4" s="48"/>
      <c r="F4" s="109" t="s">
        <v>101</v>
      </c>
      <c r="G4" s="48"/>
      <c r="H4" s="48"/>
      <c r="I4" s="48"/>
      <c r="J4" s="48"/>
      <c r="K4" s="47"/>
      <c r="L4" s="829" t="str">
        <f>IF(ISBLANK(D7),"",D7)</f>
        <v/>
      </c>
      <c r="M4" s="834" t="str">
        <f>IF(ISBLANK(D8),"",D8)</f>
        <v/>
      </c>
      <c r="N4" s="834" t="str">
        <f>IF(ISBLANK(D9),"",D9)</f>
        <v/>
      </c>
      <c r="O4" s="836" t="str">
        <f>IF(ISBLANK(D10),"",D10)</f>
        <v/>
      </c>
      <c r="P4" s="108" t="str">
        <f>IF(ISBLANK(D7),"",D7)</f>
        <v/>
      </c>
      <c r="Q4" s="48"/>
      <c r="R4" s="48"/>
      <c r="S4" s="48"/>
      <c r="T4" s="48"/>
      <c r="U4" s="48"/>
      <c r="V4" s="48"/>
      <c r="W4" s="48"/>
      <c r="X4" s="107" t="str">
        <f>IF(ISBLANK(D10),"",D10)</f>
        <v/>
      </c>
    </row>
    <row r="5" spans="1:24" x14ac:dyDescent="0.25">
      <c r="A5" s="23"/>
      <c r="F5" s="106" t="s">
        <v>100</v>
      </c>
      <c r="K5" s="22"/>
      <c r="L5" s="830"/>
      <c r="M5" s="835"/>
      <c r="N5" s="835"/>
      <c r="O5" s="837"/>
      <c r="P5" s="23"/>
      <c r="X5" s="22"/>
    </row>
    <row r="6" spans="1:24" x14ac:dyDescent="0.25">
      <c r="A6" s="23"/>
      <c r="K6" s="22"/>
      <c r="L6" s="830"/>
      <c r="M6" s="835"/>
      <c r="N6" s="835"/>
      <c r="O6" s="837"/>
      <c r="P6" s="23"/>
      <c r="X6" s="22"/>
    </row>
    <row r="7" spans="1:24" x14ac:dyDescent="0.25">
      <c r="A7" s="23"/>
      <c r="B7" s="65"/>
      <c r="C7" s="736" t="s">
        <v>91</v>
      </c>
      <c r="D7" s="816" t="str">
        <f>IF(ISBLANK('Original Submittal Form'!D30),"",'Original Submittal Form'!D30)</f>
        <v/>
      </c>
      <c r="E7" s="816"/>
      <c r="F7" s="816"/>
      <c r="G7" s="816"/>
      <c r="H7" s="817"/>
      <c r="K7" s="22"/>
      <c r="L7" s="830"/>
      <c r="M7" s="835"/>
      <c r="N7" s="835"/>
      <c r="O7" s="837"/>
      <c r="P7" s="23"/>
      <c r="X7" s="22"/>
    </row>
    <row r="8" spans="1:24" x14ac:dyDescent="0.25">
      <c r="A8" s="23"/>
      <c r="B8" s="23"/>
      <c r="C8" s="737" t="s">
        <v>296</v>
      </c>
      <c r="D8" s="818" t="str">
        <f>IF(ISBLANK('Contractor Mix Design'!D30),"",'Contractor Mix Design'!D30)</f>
        <v/>
      </c>
      <c r="E8" s="818"/>
      <c r="F8" s="818"/>
      <c r="G8" s="818"/>
      <c r="H8" s="819"/>
      <c r="K8" s="22"/>
      <c r="L8" s="830"/>
      <c r="M8" s="835"/>
      <c r="N8" s="835"/>
      <c r="O8" s="837"/>
      <c r="P8" s="23"/>
      <c r="X8" s="22"/>
    </row>
    <row r="9" spans="1:24" x14ac:dyDescent="0.25">
      <c r="A9" s="23"/>
      <c r="B9" s="23"/>
      <c r="C9" s="737" t="s">
        <v>329</v>
      </c>
      <c r="D9" s="818" t="str">
        <f>IF(ISBLANK('Original Submittal Form'!D23),"",'Original Submittal Form'!D23)</f>
        <v/>
      </c>
      <c r="E9" s="818"/>
      <c r="F9" s="818"/>
      <c r="G9" s="818"/>
      <c r="H9" s="819"/>
      <c r="K9" s="22"/>
      <c r="L9" s="830"/>
      <c r="M9" s="835"/>
      <c r="N9" s="835"/>
      <c r="O9" s="837"/>
      <c r="P9" s="23"/>
      <c r="X9" s="22"/>
    </row>
    <row r="10" spans="1:24" x14ac:dyDescent="0.25">
      <c r="A10" s="23"/>
      <c r="B10" s="21"/>
      <c r="C10" s="738" t="s">
        <v>328</v>
      </c>
      <c r="D10" s="820" t="str">
        <f>IF(ISBLANK('Original Submittal Form'!D34),"",'Original Submittal Form'!D34)</f>
        <v/>
      </c>
      <c r="E10" s="820"/>
      <c r="F10" s="820"/>
      <c r="G10" s="820"/>
      <c r="H10" s="821"/>
      <c r="K10" s="22"/>
      <c r="L10" s="830"/>
      <c r="M10" s="835"/>
      <c r="N10" s="835"/>
      <c r="O10" s="837"/>
      <c r="P10" s="23"/>
      <c r="X10" s="22"/>
    </row>
    <row r="11" spans="1:24" x14ac:dyDescent="0.25">
      <c r="A11" s="23"/>
      <c r="K11" s="22"/>
      <c r="L11" s="830"/>
      <c r="M11" s="835"/>
      <c r="N11" s="835"/>
      <c r="O11" s="837"/>
      <c r="P11" s="23"/>
      <c r="X11" s="22"/>
    </row>
    <row r="12" spans="1:24" ht="17.25" x14ac:dyDescent="0.25">
      <c r="A12" s="23"/>
      <c r="D12" s="99"/>
      <c r="E12" s="50"/>
      <c r="F12" s="98" t="s">
        <v>99</v>
      </c>
      <c r="G12" s="576">
        <f>SUM('Contractor Mix Design'!D32:D35)</f>
        <v>0</v>
      </c>
      <c r="H12" s="97" t="s">
        <v>98</v>
      </c>
      <c r="K12" s="19"/>
      <c r="L12" s="830"/>
      <c r="M12" s="835"/>
      <c r="N12" s="835"/>
      <c r="O12" s="837"/>
      <c r="P12" s="23"/>
      <c r="X12" s="22"/>
    </row>
    <row r="13" spans="1:24" x14ac:dyDescent="0.25">
      <c r="A13" s="96"/>
      <c r="B13" s="826" t="s">
        <v>97</v>
      </c>
      <c r="C13" s="828"/>
      <c r="D13" s="827"/>
      <c r="E13" s="41" t="s">
        <v>96</v>
      </c>
      <c r="F13" s="826" t="s">
        <v>95</v>
      </c>
      <c r="G13" s="827"/>
      <c r="H13" s="822" t="s">
        <v>94</v>
      </c>
      <c r="I13" s="823"/>
      <c r="J13" s="644" t="s">
        <v>93</v>
      </c>
      <c r="K13" s="831" t="s">
        <v>273</v>
      </c>
      <c r="L13" s="830"/>
      <c r="M13" s="835"/>
      <c r="N13" s="835"/>
      <c r="O13" s="837"/>
      <c r="P13" s="23"/>
      <c r="X13" s="22"/>
    </row>
    <row r="14" spans="1:24" ht="15.75" x14ac:dyDescent="0.25">
      <c r="A14" s="95"/>
      <c r="B14" s="93">
        <v>1</v>
      </c>
      <c r="C14" s="94">
        <v>2</v>
      </c>
      <c r="D14" s="92">
        <v>3</v>
      </c>
      <c r="E14" s="41">
        <v>1</v>
      </c>
      <c r="F14" s="93">
        <v>1</v>
      </c>
      <c r="G14" s="92">
        <v>2</v>
      </c>
      <c r="H14" s="824" t="s">
        <v>271</v>
      </c>
      <c r="I14" s="825"/>
      <c r="J14" s="645" t="s">
        <v>272</v>
      </c>
      <c r="K14" s="832"/>
      <c r="L14" s="830"/>
      <c r="M14" s="835"/>
      <c r="N14" s="835"/>
      <c r="O14" s="837"/>
      <c r="P14" s="23"/>
      <c r="X14" s="22"/>
    </row>
    <row r="15" spans="1:24" x14ac:dyDescent="0.25">
      <c r="A15" s="95"/>
      <c r="B15" s="93"/>
      <c r="C15" s="94"/>
      <c r="D15" s="92"/>
      <c r="E15" s="41"/>
      <c r="F15" s="93"/>
      <c r="G15" s="92"/>
      <c r="H15" s="642" t="s">
        <v>270</v>
      </c>
      <c r="I15" s="643"/>
      <c r="J15" s="645"/>
      <c r="K15" s="832"/>
      <c r="L15" s="830"/>
      <c r="M15" s="835"/>
      <c r="N15" s="835"/>
      <c r="O15" s="837"/>
      <c r="P15" s="23"/>
      <c r="X15" s="22"/>
    </row>
    <row r="16" spans="1:24" ht="14.45" customHeight="1" x14ac:dyDescent="0.25">
      <c r="A16" s="91" t="s">
        <v>82</v>
      </c>
      <c r="B16" s="88" t="s">
        <v>81</v>
      </c>
      <c r="C16" s="90" t="s">
        <v>81</v>
      </c>
      <c r="D16" s="87" t="s">
        <v>81</v>
      </c>
      <c r="E16" s="89" t="s">
        <v>81</v>
      </c>
      <c r="F16" s="88" t="s">
        <v>81</v>
      </c>
      <c r="G16" s="87" t="s">
        <v>81</v>
      </c>
      <c r="H16" s="86" t="s">
        <v>81</v>
      </c>
      <c r="I16" s="85" t="s">
        <v>92</v>
      </c>
      <c r="J16" s="84" t="s">
        <v>92</v>
      </c>
      <c r="K16" s="833"/>
      <c r="L16" s="830"/>
      <c r="M16" s="835"/>
      <c r="N16" s="835"/>
      <c r="O16" s="837"/>
      <c r="P16" s="23"/>
      <c r="X16" s="22"/>
    </row>
    <row r="17" spans="1:24" x14ac:dyDescent="0.25">
      <c r="A17" s="83" t="s">
        <v>78</v>
      </c>
      <c r="B17" s="591"/>
      <c r="C17" s="592"/>
      <c r="D17" s="593"/>
      <c r="E17" s="591"/>
      <c r="F17" s="591"/>
      <c r="G17" s="593"/>
      <c r="H17" s="603" t="str">
        <f>IF(ISBLANK(B17),"",SUMPRODUCT($B17:$G17,$B$31:$G$31))</f>
        <v/>
      </c>
      <c r="I17" s="604" t="str">
        <f>IFERROR(1-H17,"")</f>
        <v/>
      </c>
      <c r="J17" s="606" t="str">
        <f>I17</f>
        <v/>
      </c>
      <c r="K17" s="750" t="str">
        <f t="shared" ref="K17:K23" si="0">IFERROR(IF(H17=1, "95 - 100%",IF(H17=0,"0-5%",CONCATENATE(MROUND(IF((H17-0.05)*100&lt;0,0,(H17-0.05)*100),1)," - ",MROUND(IF((H17+0.05)*100&gt;100,100,(H17+0.05)*100),1),"%"))),"")</f>
        <v/>
      </c>
      <c r="L17" s="830"/>
      <c r="M17" s="835"/>
      <c r="N17" s="835"/>
      <c r="O17" s="837"/>
      <c r="P17" s="23"/>
      <c r="X17" s="22"/>
    </row>
    <row r="18" spans="1:24" x14ac:dyDescent="0.25">
      <c r="A18" s="80" t="s">
        <v>77</v>
      </c>
      <c r="B18" s="594"/>
      <c r="C18" s="595"/>
      <c r="D18" s="596"/>
      <c r="E18" s="594"/>
      <c r="F18" s="594"/>
      <c r="G18" s="596"/>
      <c r="H18" s="603" t="str">
        <f t="shared" ref="H18:H29" si="1">IF(ISBLANK(B18),"",SUMPRODUCT($B18:$G18,$B$31:$G$31))</f>
        <v/>
      </c>
      <c r="I18" s="604" t="str">
        <f t="shared" ref="I18:I29" si="2">IFERROR(1-H18,"")</f>
        <v/>
      </c>
      <c r="J18" s="607" t="str">
        <f>IFERROR(I18-I17,"")</f>
        <v/>
      </c>
      <c r="K18" s="750" t="str">
        <f t="shared" si="0"/>
        <v/>
      </c>
      <c r="L18" s="830"/>
      <c r="M18" s="835"/>
      <c r="N18" s="835"/>
      <c r="O18" s="837"/>
      <c r="P18" s="23"/>
      <c r="X18" s="22"/>
    </row>
    <row r="19" spans="1:24" x14ac:dyDescent="0.25">
      <c r="A19" s="76" t="s">
        <v>76</v>
      </c>
      <c r="B19" s="594"/>
      <c r="C19" s="595"/>
      <c r="D19" s="596"/>
      <c r="E19" s="594"/>
      <c r="F19" s="594"/>
      <c r="G19" s="596"/>
      <c r="H19" s="603" t="str">
        <f t="shared" si="1"/>
        <v/>
      </c>
      <c r="I19" s="604" t="str">
        <f t="shared" si="2"/>
        <v/>
      </c>
      <c r="J19" s="607" t="str">
        <f t="shared" ref="J19:J30" si="3">IFERROR(I19-I18,"")</f>
        <v/>
      </c>
      <c r="K19" s="750" t="str">
        <f t="shared" si="0"/>
        <v/>
      </c>
      <c r="L19" s="830"/>
      <c r="M19" s="835"/>
      <c r="N19" s="835"/>
      <c r="O19" s="837"/>
      <c r="P19" s="23"/>
      <c r="X19" s="22"/>
    </row>
    <row r="20" spans="1:24" x14ac:dyDescent="0.25">
      <c r="A20" s="79" t="s">
        <v>75</v>
      </c>
      <c r="B20" s="594"/>
      <c r="C20" s="595"/>
      <c r="D20" s="596"/>
      <c r="E20" s="594"/>
      <c r="F20" s="594"/>
      <c r="G20" s="596"/>
      <c r="H20" s="603" t="str">
        <f t="shared" si="1"/>
        <v/>
      </c>
      <c r="I20" s="604" t="str">
        <f t="shared" si="2"/>
        <v/>
      </c>
      <c r="J20" s="607" t="str">
        <f t="shared" si="3"/>
        <v/>
      </c>
      <c r="K20" s="750" t="str">
        <f t="shared" si="0"/>
        <v/>
      </c>
      <c r="L20" s="830"/>
      <c r="M20" s="835"/>
      <c r="N20" s="835"/>
      <c r="O20" s="837"/>
      <c r="P20" s="23"/>
      <c r="X20" s="22"/>
    </row>
    <row r="21" spans="1:24" x14ac:dyDescent="0.25">
      <c r="A21" s="78" t="s">
        <v>74</v>
      </c>
      <c r="B21" s="594"/>
      <c r="C21" s="595"/>
      <c r="D21" s="596"/>
      <c r="E21" s="594"/>
      <c r="F21" s="594"/>
      <c r="G21" s="596"/>
      <c r="H21" s="603" t="str">
        <f t="shared" si="1"/>
        <v/>
      </c>
      <c r="I21" s="604" t="str">
        <f t="shared" si="2"/>
        <v/>
      </c>
      <c r="J21" s="607" t="str">
        <f t="shared" si="3"/>
        <v/>
      </c>
      <c r="K21" s="750" t="str">
        <f t="shared" si="0"/>
        <v/>
      </c>
      <c r="L21" s="814" t="s">
        <v>91</v>
      </c>
      <c r="M21" s="838" t="s">
        <v>90</v>
      </c>
      <c r="N21" s="838" t="s">
        <v>89</v>
      </c>
      <c r="O21" s="840" t="s">
        <v>88</v>
      </c>
      <c r="P21" s="23"/>
      <c r="X21" s="22"/>
    </row>
    <row r="22" spans="1:24" x14ac:dyDescent="0.25">
      <c r="A22" s="77" t="s">
        <v>73</v>
      </c>
      <c r="B22" s="594"/>
      <c r="C22" s="595"/>
      <c r="D22" s="596"/>
      <c r="E22" s="594"/>
      <c r="F22" s="594"/>
      <c r="G22" s="596"/>
      <c r="H22" s="603" t="str">
        <f t="shared" si="1"/>
        <v/>
      </c>
      <c r="I22" s="604" t="str">
        <f t="shared" si="2"/>
        <v/>
      </c>
      <c r="J22" s="607" t="str">
        <f t="shared" si="3"/>
        <v/>
      </c>
      <c r="K22" s="750" t="str">
        <f t="shared" si="0"/>
        <v/>
      </c>
      <c r="L22" s="814"/>
      <c r="M22" s="838"/>
      <c r="N22" s="838"/>
      <c r="O22" s="840"/>
      <c r="P22" s="23"/>
      <c r="X22" s="22"/>
    </row>
    <row r="23" spans="1:24" x14ac:dyDescent="0.25">
      <c r="A23" s="76" t="s">
        <v>72</v>
      </c>
      <c r="B23" s="594"/>
      <c r="C23" s="595"/>
      <c r="D23" s="596"/>
      <c r="E23" s="594"/>
      <c r="F23" s="594"/>
      <c r="G23" s="596"/>
      <c r="H23" s="603" t="str">
        <f t="shared" si="1"/>
        <v/>
      </c>
      <c r="I23" s="604" t="str">
        <f t="shared" si="2"/>
        <v/>
      </c>
      <c r="J23" s="607" t="str">
        <f t="shared" si="3"/>
        <v/>
      </c>
      <c r="K23" s="750" t="str">
        <f t="shared" si="0"/>
        <v/>
      </c>
      <c r="L23" s="814"/>
      <c r="M23" s="838"/>
      <c r="N23" s="838"/>
      <c r="O23" s="840"/>
      <c r="P23" s="23"/>
      <c r="X23" s="22"/>
    </row>
    <row r="24" spans="1:24" x14ac:dyDescent="0.25">
      <c r="A24" s="76" t="s">
        <v>71</v>
      </c>
      <c r="B24" s="594"/>
      <c r="C24" s="595"/>
      <c r="D24" s="596"/>
      <c r="E24" s="594"/>
      <c r="F24" s="594"/>
      <c r="G24" s="597"/>
      <c r="H24" s="608" t="str">
        <f t="shared" si="1"/>
        <v/>
      </c>
      <c r="I24" s="604" t="str">
        <f t="shared" si="2"/>
        <v/>
      </c>
      <c r="J24" s="607" t="str">
        <f t="shared" si="3"/>
        <v/>
      </c>
      <c r="K24" s="750" t="str">
        <f>IFERROR(IF(H24=1, "96 - 100%",IF(H24=0,"0-4%",CONCATENATE(MROUND(IF((H24-0.04)*100&lt;0,0,(H24-0.04)*100),1)," - ",MROUND(IF((H24+0.04)*100&gt;100,100,(H24+0.04)*100),1),"%"))),"")</f>
        <v/>
      </c>
      <c r="L24" s="814"/>
      <c r="M24" s="838"/>
      <c r="N24" s="838"/>
      <c r="O24" s="840"/>
      <c r="P24" s="23"/>
      <c r="X24" s="22"/>
    </row>
    <row r="25" spans="1:24" x14ac:dyDescent="0.25">
      <c r="A25" s="76" t="s">
        <v>70</v>
      </c>
      <c r="B25" s="594"/>
      <c r="C25" s="595"/>
      <c r="D25" s="596"/>
      <c r="E25" s="594"/>
      <c r="F25" s="594"/>
      <c r="G25" s="596"/>
      <c r="H25" s="603" t="str">
        <f t="shared" si="1"/>
        <v/>
      </c>
      <c r="I25" s="604" t="str">
        <f t="shared" si="2"/>
        <v/>
      </c>
      <c r="J25" s="607" t="str">
        <f t="shared" si="3"/>
        <v/>
      </c>
      <c r="K25" s="750" t="str">
        <f>IFERROR(IF(H25=1, "96 - 100%",IF(H25=0,"0-4%",CONCATENATE(MROUND(IF((H25-0.04)*100&lt;0,0,(H25-0.04)*100),1)," - ",MROUND(IF((H25+0.04)*100&gt;100,100,(H25+0.04)*100),1),"%"))),"")</f>
        <v/>
      </c>
      <c r="L25" s="814"/>
      <c r="M25" s="838"/>
      <c r="N25" s="838"/>
      <c r="O25" s="840"/>
      <c r="P25" s="23"/>
      <c r="X25" s="22"/>
    </row>
    <row r="26" spans="1:24" x14ac:dyDescent="0.25">
      <c r="A26" s="76" t="s">
        <v>69</v>
      </c>
      <c r="B26" s="594"/>
      <c r="C26" s="595"/>
      <c r="D26" s="596"/>
      <c r="E26" s="594"/>
      <c r="F26" s="594"/>
      <c r="G26" s="596"/>
      <c r="H26" s="603" t="str">
        <f t="shared" si="1"/>
        <v/>
      </c>
      <c r="I26" s="604" t="str">
        <f t="shared" si="2"/>
        <v/>
      </c>
      <c r="J26" s="607" t="str">
        <f t="shared" si="3"/>
        <v/>
      </c>
      <c r="K26" s="750" t="str">
        <f>IFERROR(IF(H26=1, "96 - 100%",IF(H26=0,"0-4%",CONCATENATE(MROUND(IF((H26-0.04)*100&lt;0,0,(H26-0.04)*100),1)," - ",MROUND(IF((H26+0.04)*100&gt;100,100,(H26+0.04)*100),1),"%"))),"")</f>
        <v/>
      </c>
      <c r="L26" s="815"/>
      <c r="M26" s="839"/>
      <c r="N26" s="839"/>
      <c r="O26" s="841"/>
      <c r="P26" s="23"/>
      <c r="X26" s="22"/>
    </row>
    <row r="27" spans="1:24" x14ac:dyDescent="0.25">
      <c r="A27" s="76" t="s">
        <v>68</v>
      </c>
      <c r="B27" s="594"/>
      <c r="C27" s="595"/>
      <c r="D27" s="596"/>
      <c r="E27" s="594"/>
      <c r="F27" s="594"/>
      <c r="G27" s="596"/>
      <c r="H27" s="603" t="str">
        <f t="shared" si="1"/>
        <v/>
      </c>
      <c r="I27" s="604" t="str">
        <f t="shared" si="2"/>
        <v/>
      </c>
      <c r="J27" s="607" t="str">
        <f t="shared" si="3"/>
        <v/>
      </c>
      <c r="K27" s="750" t="str">
        <f>IFERROR(IF(H27=1, "97 - 100%",IF(H27=0,"0-3%",CONCATENATE(MROUND(IF((H27-0.03)*100&lt;0,0,(H27-0.03)*100),1)," - ",MROUND(IF((H27+0.03)*100&gt;100,100,(H27+0.03)*100),1),"%"))),"")</f>
        <v/>
      </c>
      <c r="P27" s="23"/>
      <c r="X27" s="22"/>
    </row>
    <row r="28" spans="1:24" x14ac:dyDescent="0.25">
      <c r="A28" s="76" t="s">
        <v>67</v>
      </c>
      <c r="B28" s="594"/>
      <c r="C28" s="595"/>
      <c r="D28" s="596"/>
      <c r="E28" s="594"/>
      <c r="F28" s="594"/>
      <c r="G28" s="596"/>
      <c r="H28" s="603" t="str">
        <f t="shared" si="1"/>
        <v/>
      </c>
      <c r="I28" s="604" t="str">
        <f t="shared" si="2"/>
        <v/>
      </c>
      <c r="J28" s="607" t="str">
        <f t="shared" si="3"/>
        <v/>
      </c>
      <c r="K28" s="750" t="str">
        <f>IFERROR(IF(H28=1, "98-100%",IF(H28=0,"0-2%",CONCATENATE(MROUND(IF((H28-0.02)*100&lt;0,0,(H28-0.02)*100),1)," - ",MROUND(IF((H28+0.02)*100&gt;100,100,(H28+0.02)*100),1),"%"))),"")</f>
        <v/>
      </c>
      <c r="P28" s="23"/>
      <c r="X28" s="22"/>
    </row>
    <row r="29" spans="1:24" x14ac:dyDescent="0.25">
      <c r="A29" s="76" t="s">
        <v>66</v>
      </c>
      <c r="B29" s="639"/>
      <c r="C29" s="640"/>
      <c r="D29" s="641"/>
      <c r="E29" s="639"/>
      <c r="F29" s="639"/>
      <c r="G29" s="641"/>
      <c r="H29" s="82" t="str">
        <f t="shared" si="1"/>
        <v/>
      </c>
      <c r="I29" s="604" t="str">
        <f t="shared" si="2"/>
        <v/>
      </c>
      <c r="J29" s="28" t="str">
        <f t="shared" si="3"/>
        <v/>
      </c>
      <c r="K29" s="586" t="str">
        <f>IFERROR(IF(H29=1, "98.5-100%",IF(H29=0,"0-1.5%",CONCATENATE(ROUND(IF((H29-0.015)*100&lt;0,0,(H29-0.015)*100),1)," - ",ROUND(IF((H29+0.015)*100&gt;100,100,(H29+0.015)*100),1),"%"))),"")</f>
        <v/>
      </c>
      <c r="P29" s="23"/>
      <c r="X29" s="22"/>
    </row>
    <row r="30" spans="1:24" x14ac:dyDescent="0.25">
      <c r="A30" s="73" t="s">
        <v>65</v>
      </c>
      <c r="B30" s="71"/>
      <c r="C30" s="72"/>
      <c r="D30" s="70"/>
      <c r="E30" s="71"/>
      <c r="F30" s="71"/>
      <c r="G30" s="70"/>
      <c r="H30" s="69">
        <v>0</v>
      </c>
      <c r="I30" s="605">
        <v>1</v>
      </c>
      <c r="J30" s="607" t="str">
        <f t="shared" si="3"/>
        <v/>
      </c>
      <c r="K30" s="584"/>
      <c r="P30" s="23"/>
      <c r="X30" s="22"/>
    </row>
    <row r="31" spans="1:24" x14ac:dyDescent="0.25">
      <c r="A31" s="67" t="s">
        <v>87</v>
      </c>
      <c r="B31" s="577" t="str">
        <f>IF(ISBLANK('Contractor Mix Design'!E40),"0.0",'Contractor Mix Design'!E40)</f>
        <v>0.0%</v>
      </c>
      <c r="C31" s="578" t="str">
        <f>IF(ISBLANK('Contractor Mix Design'!E41),"0.0",'Contractor Mix Design'!E41)</f>
        <v>0.0%</v>
      </c>
      <c r="D31" s="579" t="str">
        <f>IF(ISBLANK('Contractor Mix Design'!E42),"0.0",'Contractor Mix Design'!E42)</f>
        <v>0.0%</v>
      </c>
      <c r="E31" s="580" t="str">
        <f>IF(ISBLANK('Contractor Mix Design'!E43),"0.0",'Contractor Mix Design'!E43)</f>
        <v>0.0%</v>
      </c>
      <c r="F31" s="580" t="str">
        <f>IF(ISBLANK('Contractor Mix Design'!E38),"0.0",'Contractor Mix Design'!E38)</f>
        <v>0.0%</v>
      </c>
      <c r="G31" s="579" t="str">
        <f>IF(ISBLANK('Contractor Mix Design'!E39),"0.0",'Contractor Mix Design'!E39)</f>
        <v>0.0%</v>
      </c>
      <c r="H31" s="66">
        <f>SUM(B31:G31)</f>
        <v>0</v>
      </c>
      <c r="K31" s="97"/>
      <c r="P31" s="23"/>
      <c r="X31" s="22"/>
    </row>
    <row r="32" spans="1:24" x14ac:dyDescent="0.25">
      <c r="A32" s="23"/>
      <c r="C32" s="65"/>
      <c r="D32" s="48"/>
      <c r="E32" s="64" t="s">
        <v>86</v>
      </c>
      <c r="F32" s="63" t="e">
        <f>Calculation!J58</f>
        <v>#VALUE!</v>
      </c>
      <c r="G32" s="62" t="e">
        <f>"    CF = "&amp;TEXT(I22,"##.#%")&amp;"/"&amp;TEXT(I24,"##.#%")&amp;" = "&amp;TEXT(F32,"##.#%")</f>
        <v>#VALUE!</v>
      </c>
      <c r="H32" s="48"/>
      <c r="I32" s="48"/>
      <c r="J32" s="48"/>
      <c r="K32" s="22"/>
      <c r="P32" s="23"/>
      <c r="X32" s="22"/>
    </row>
    <row r="33" spans="1:24" x14ac:dyDescent="0.25">
      <c r="A33" s="23"/>
      <c r="C33" s="61"/>
      <c r="D33" s="57"/>
      <c r="E33" s="60" t="s">
        <v>85</v>
      </c>
      <c r="F33" s="59" t="e">
        <f>Calculation!J61</f>
        <v>#VALUE!</v>
      </c>
      <c r="G33" s="58" t="e">
        <f>"    WF = "&amp;TEXT(H24,"##.#%")&amp;" + 2.5("&amp;TEXT(G12,"##")&amp;" - 564)/94 = "&amp;TEXT(F33,"##.#%")</f>
        <v>#VALUE!</v>
      </c>
      <c r="H33" s="57"/>
      <c r="I33" s="57"/>
      <c r="J33" s="57"/>
      <c r="K33" s="19"/>
      <c r="P33" s="23"/>
      <c r="X33" s="22"/>
    </row>
    <row r="34" spans="1:24" ht="15.75" x14ac:dyDescent="0.25">
      <c r="A34" s="23"/>
      <c r="C34" s="55"/>
      <c r="D34" s="52"/>
      <c r="E34" s="52"/>
      <c r="F34" s="54" t="e">
        <f>Calculation!F109</f>
        <v>#N/A</v>
      </c>
      <c r="G34" s="53" t="e">
        <f>Calculation!F133</f>
        <v>#VALUE!</v>
      </c>
      <c r="H34" s="52"/>
      <c r="I34" s="52"/>
      <c r="J34" s="52"/>
      <c r="K34" s="585"/>
      <c r="P34" s="23"/>
      <c r="X34" s="22"/>
    </row>
    <row r="35" spans="1:24" x14ac:dyDescent="0.25">
      <c r="A35" s="23"/>
      <c r="D35" s="48"/>
      <c r="E35" s="48"/>
      <c r="F35" s="50"/>
      <c r="G35" s="50"/>
      <c r="H35" s="48"/>
      <c r="I35" s="48"/>
      <c r="K35" s="22"/>
      <c r="P35" s="23"/>
      <c r="X35" s="22"/>
    </row>
    <row r="36" spans="1:24" x14ac:dyDescent="0.25">
      <c r="A36" s="23"/>
      <c r="F36" s="49" t="s">
        <v>84</v>
      </c>
      <c r="G36" s="48"/>
      <c r="H36" s="48"/>
      <c r="I36" s="47"/>
      <c r="K36" s="22"/>
      <c r="P36" s="23"/>
      <c r="X36" s="22"/>
    </row>
    <row r="37" spans="1:24" x14ac:dyDescent="0.25">
      <c r="A37" s="23"/>
      <c r="F37" s="735" t="s">
        <v>83</v>
      </c>
      <c r="G37" s="20"/>
      <c r="I37" s="45" t="str">
        <f>Calculation!AG38</f>
        <v>Pan</v>
      </c>
      <c r="K37" s="22"/>
      <c r="P37" s="23"/>
      <c r="X37" s="22"/>
    </row>
    <row r="38" spans="1:24" ht="32.25" x14ac:dyDescent="0.25">
      <c r="A38" s="23"/>
      <c r="F38" s="43" t="s">
        <v>82</v>
      </c>
      <c r="G38" s="44" t="s">
        <v>81</v>
      </c>
      <c r="H38" s="43" t="s">
        <v>80</v>
      </c>
      <c r="I38" s="42" t="s">
        <v>79</v>
      </c>
      <c r="K38" s="22"/>
      <c r="P38" s="23"/>
      <c r="R38" s="41"/>
      <c r="S38" s="41"/>
      <c r="X38" s="22"/>
    </row>
    <row r="39" spans="1:24" x14ac:dyDescent="0.25">
      <c r="A39" s="23"/>
      <c r="F39" s="40" t="s">
        <v>78</v>
      </c>
      <c r="G39" s="39" t="str">
        <f t="shared" ref="G39:G52" si="4">H17</f>
        <v/>
      </c>
      <c r="H39" s="38" t="str">
        <f>IF(ISBLANK(B17),"",IF(Calculation!AH61&gt;Calculation!$AG$39,1,Calculation!AH61/Calculation!$AG$39))</f>
        <v/>
      </c>
      <c r="I39" s="37" t="str">
        <f>IFERROR(H39-G39,"")</f>
        <v/>
      </c>
      <c r="K39" s="22"/>
      <c r="P39" s="23"/>
      <c r="Q39" s="34"/>
      <c r="R39" s="35"/>
      <c r="S39" s="35"/>
      <c r="X39" s="22"/>
    </row>
    <row r="40" spans="1:24" x14ac:dyDescent="0.25">
      <c r="A40" s="23"/>
      <c r="F40" s="36" t="s">
        <v>77</v>
      </c>
      <c r="G40" s="29" t="str">
        <f t="shared" si="4"/>
        <v/>
      </c>
      <c r="H40" s="38" t="str">
        <f>IF(ISBLANK(B18),"",IF(Calculation!AH62&gt;Calculation!$AG$39,1,Calculation!AH62/Calculation!$AG$39))</f>
        <v/>
      </c>
      <c r="I40" s="37" t="str">
        <f t="shared" ref="I40:I52" si="5">IFERROR(H40-G40,"")</f>
        <v/>
      </c>
      <c r="K40" s="22"/>
      <c r="P40" s="23"/>
      <c r="Q40" s="34"/>
      <c r="R40" s="35"/>
      <c r="S40" s="35"/>
      <c r="X40" s="22"/>
    </row>
    <row r="41" spans="1:24" x14ac:dyDescent="0.25">
      <c r="A41" s="23"/>
      <c r="F41" s="30" t="s">
        <v>76</v>
      </c>
      <c r="G41" s="29" t="str">
        <f t="shared" si="4"/>
        <v/>
      </c>
      <c r="H41" s="38" t="str">
        <f>IF(ISBLANK(B19),"",IF(Calculation!AH63&gt;Calculation!$AG$39,1,Calculation!AH63/Calculation!$AG$39))</f>
        <v/>
      </c>
      <c r="I41" s="37" t="str">
        <f t="shared" si="5"/>
        <v/>
      </c>
      <c r="K41" s="22"/>
      <c r="P41" s="23"/>
      <c r="Q41" s="34"/>
      <c r="X41" s="22"/>
    </row>
    <row r="42" spans="1:24" x14ac:dyDescent="0.25">
      <c r="A42" s="23"/>
      <c r="F42" s="33" t="s">
        <v>75</v>
      </c>
      <c r="G42" s="29" t="str">
        <f t="shared" si="4"/>
        <v/>
      </c>
      <c r="H42" s="38" t="str">
        <f>IF(ISBLANK(B20),"",IF(Calculation!AH64&gt;Calculation!$AG$39,1,Calculation!AH64/Calculation!$AG$39))</f>
        <v/>
      </c>
      <c r="I42" s="37" t="str">
        <f t="shared" si="5"/>
        <v/>
      </c>
      <c r="K42" s="22"/>
      <c r="P42" s="23"/>
      <c r="X42" s="22"/>
    </row>
    <row r="43" spans="1:24" x14ac:dyDescent="0.25">
      <c r="A43" s="23"/>
      <c r="F43" s="32" t="s">
        <v>74</v>
      </c>
      <c r="G43" s="29" t="str">
        <f t="shared" si="4"/>
        <v/>
      </c>
      <c r="H43" s="38" t="str">
        <f>IF(ISBLANK(B21),"",IF(Calculation!AH65&gt;Calculation!$AG$39,1,Calculation!AH65/Calculation!$AG$39))</f>
        <v/>
      </c>
      <c r="I43" s="37" t="str">
        <f t="shared" si="5"/>
        <v/>
      </c>
      <c r="K43" s="22"/>
      <c r="P43" s="23"/>
      <c r="X43" s="22"/>
    </row>
    <row r="44" spans="1:24" x14ac:dyDescent="0.25">
      <c r="A44" s="23"/>
      <c r="F44" s="31" t="s">
        <v>73</v>
      </c>
      <c r="G44" s="29" t="str">
        <f t="shared" si="4"/>
        <v/>
      </c>
      <c r="H44" s="38" t="str">
        <f>IF(ISBLANK(B22),"",IF(Calculation!AH66&gt;Calculation!$AG$39,1,Calculation!AH66/Calculation!$AG$39))</f>
        <v/>
      </c>
      <c r="I44" s="37" t="str">
        <f t="shared" si="5"/>
        <v/>
      </c>
      <c r="K44" s="22"/>
      <c r="P44" s="23"/>
      <c r="X44" s="22"/>
    </row>
    <row r="45" spans="1:24" x14ac:dyDescent="0.25">
      <c r="A45" s="23"/>
      <c r="F45" s="30" t="s">
        <v>72</v>
      </c>
      <c r="G45" s="29" t="str">
        <f t="shared" si="4"/>
        <v/>
      </c>
      <c r="H45" s="38" t="str">
        <f>IF(ISBLANK(B23),"",IF(Calculation!AH67&gt;Calculation!$AG$39,1,Calculation!AH67/Calculation!$AG$39))</f>
        <v/>
      </c>
      <c r="I45" s="37" t="str">
        <f t="shared" si="5"/>
        <v/>
      </c>
      <c r="K45" s="22"/>
      <c r="P45" s="23"/>
      <c r="X45" s="22"/>
    </row>
    <row r="46" spans="1:24" x14ac:dyDescent="0.25">
      <c r="A46" s="23"/>
      <c r="F46" s="30" t="s">
        <v>71</v>
      </c>
      <c r="G46" s="29" t="str">
        <f t="shared" si="4"/>
        <v/>
      </c>
      <c r="H46" s="38" t="str">
        <f>IF(ISBLANK(B24),"",IF(Calculation!AH68&gt;Calculation!$AG$39,1,Calculation!AH68/Calculation!$AG$39))</f>
        <v/>
      </c>
      <c r="I46" s="37" t="str">
        <f t="shared" si="5"/>
        <v/>
      </c>
      <c r="K46" s="22"/>
      <c r="P46" s="23"/>
      <c r="X46" s="22"/>
    </row>
    <row r="47" spans="1:24" x14ac:dyDescent="0.25">
      <c r="A47" s="23"/>
      <c r="F47" s="30" t="s">
        <v>70</v>
      </c>
      <c r="G47" s="29" t="str">
        <f t="shared" si="4"/>
        <v/>
      </c>
      <c r="H47" s="38" t="str">
        <f>IF(ISBLANK(B25),"",IF(Calculation!AH69&gt;Calculation!$AG$39,1,Calculation!AH69/Calculation!$AG$39))</f>
        <v/>
      </c>
      <c r="I47" s="37" t="str">
        <f t="shared" si="5"/>
        <v/>
      </c>
      <c r="K47" s="22"/>
      <c r="P47" s="23"/>
      <c r="X47" s="22"/>
    </row>
    <row r="48" spans="1:24" x14ac:dyDescent="0.25">
      <c r="A48" s="23"/>
      <c r="F48" s="30" t="s">
        <v>69</v>
      </c>
      <c r="G48" s="29" t="str">
        <f t="shared" si="4"/>
        <v/>
      </c>
      <c r="H48" s="38" t="str">
        <f>IF(ISBLANK(B26),"",IF(Calculation!AH70&gt;Calculation!$AG$39,1,Calculation!AH70/Calculation!$AG$39))</f>
        <v/>
      </c>
      <c r="I48" s="37" t="str">
        <f t="shared" si="5"/>
        <v/>
      </c>
      <c r="K48" s="22"/>
      <c r="P48" s="23"/>
      <c r="X48" s="22"/>
    </row>
    <row r="49" spans="1:24" x14ac:dyDescent="0.25">
      <c r="A49" s="23"/>
      <c r="F49" s="30" t="s">
        <v>68</v>
      </c>
      <c r="G49" s="29" t="str">
        <f t="shared" si="4"/>
        <v/>
      </c>
      <c r="H49" s="38" t="str">
        <f>IF(ISBLANK(B27),"",IF(Calculation!AH71&gt;Calculation!$AG$39,1,Calculation!AH71/Calculation!$AG$39))</f>
        <v/>
      </c>
      <c r="I49" s="37" t="str">
        <f t="shared" si="5"/>
        <v/>
      </c>
      <c r="K49" s="22"/>
      <c r="P49" s="23"/>
      <c r="X49" s="22"/>
    </row>
    <row r="50" spans="1:24" x14ac:dyDescent="0.25">
      <c r="A50" s="23"/>
      <c r="F50" s="30" t="s">
        <v>67</v>
      </c>
      <c r="G50" s="29" t="str">
        <f t="shared" si="4"/>
        <v/>
      </c>
      <c r="H50" s="38" t="str">
        <f>IF(ISBLANK(B28),"",IF(Calculation!AH72&gt;Calculation!$AG$39,1,Calculation!AH72/Calculation!$AG$39))</f>
        <v/>
      </c>
      <c r="I50" s="37" t="str">
        <f t="shared" si="5"/>
        <v/>
      </c>
      <c r="K50" s="22"/>
      <c r="P50" s="23"/>
      <c r="X50" s="22"/>
    </row>
    <row r="51" spans="1:24" x14ac:dyDescent="0.25">
      <c r="A51" s="23"/>
      <c r="F51" s="30" t="s">
        <v>66</v>
      </c>
      <c r="G51" s="29" t="str">
        <f t="shared" si="4"/>
        <v/>
      </c>
      <c r="H51" s="38" t="str">
        <f>IF(ISBLANK(B29),"",IF(Calculation!AH73&gt;Calculation!$AG$39,1,Calculation!AH73/Calculation!$AG$39))</f>
        <v/>
      </c>
      <c r="I51" s="37" t="str">
        <f t="shared" si="5"/>
        <v/>
      </c>
      <c r="K51" s="22"/>
      <c r="P51" s="23"/>
      <c r="X51" s="22"/>
    </row>
    <row r="52" spans="1:24" x14ac:dyDescent="0.25">
      <c r="A52" s="23"/>
      <c r="F52" s="27" t="s">
        <v>65</v>
      </c>
      <c r="G52" s="26">
        <f t="shared" si="4"/>
        <v>0</v>
      </c>
      <c r="H52" s="25" t="str">
        <f>IFERROR(IF(Calculation!AH74&gt;Calculation!$AG$39,1,Calculation!AH74/Calculation!$AG$39),"")</f>
        <v/>
      </c>
      <c r="I52" s="37" t="str">
        <f t="shared" si="5"/>
        <v/>
      </c>
      <c r="K52" s="22"/>
      <c r="P52" s="23"/>
      <c r="X52" s="22"/>
    </row>
    <row r="53" spans="1:24" x14ac:dyDescent="0.25">
      <c r="A53" s="21"/>
      <c r="B53" s="20"/>
      <c r="C53" s="20"/>
      <c r="D53" s="20"/>
      <c r="E53" s="20"/>
      <c r="F53" s="20"/>
      <c r="G53" s="20"/>
      <c r="H53" s="20"/>
      <c r="I53" s="20"/>
      <c r="J53" s="20"/>
      <c r="K53" s="19"/>
      <c r="P53" s="21"/>
      <c r="Q53" s="20"/>
      <c r="R53" s="20"/>
      <c r="S53" s="20"/>
      <c r="T53" s="20"/>
      <c r="U53" s="20"/>
      <c r="V53" s="20"/>
      <c r="W53" s="20"/>
      <c r="X53" s="19"/>
    </row>
  </sheetData>
  <sheetProtection algorithmName="SHA-512" hashValue="4M0NLw5O9U4J3g1w3bGOXmBYBrYvhtesLHSEDJg/g2r5QVIN6Gx9Dm0y1eOvqL56xRIegYg6oI5rzhMIRXvAmQ==" saltValue="axYuthTe2Qx/vLkZVGt8bg==" spinCount="100000" sheet="1" selectLockedCells="1"/>
  <mergeCells count="17">
    <mergeCell ref="M4:M20"/>
    <mergeCell ref="N4:N20"/>
    <mergeCell ref="O4:O20"/>
    <mergeCell ref="N21:N26"/>
    <mergeCell ref="O21:O26"/>
    <mergeCell ref="M21:M26"/>
    <mergeCell ref="L21:L26"/>
    <mergeCell ref="D7:H7"/>
    <mergeCell ref="D8:H8"/>
    <mergeCell ref="D9:H9"/>
    <mergeCell ref="D10:H10"/>
    <mergeCell ref="H13:I13"/>
    <mergeCell ref="H14:I14"/>
    <mergeCell ref="F13:G13"/>
    <mergeCell ref="B13:D13"/>
    <mergeCell ref="L4:L20"/>
    <mergeCell ref="K13:K16"/>
  </mergeCells>
  <conditionalFormatting sqref="B18:G30">
    <cfRule type="cellIs" dxfId="14" priority="4" operator="greaterThan">
      <formula>B17</formula>
    </cfRule>
  </conditionalFormatting>
  <conditionalFormatting sqref="H31">
    <cfRule type="cellIs" dxfId="13" priority="5" operator="notEqual">
      <formula>1</formula>
    </cfRule>
    <cfRule type="cellIs" dxfId="12" priority="6" operator="equal">
      <formula>1</formula>
    </cfRule>
  </conditionalFormatting>
  <conditionalFormatting sqref="I39:I52">
    <cfRule type="cellIs" dxfId="11" priority="1" operator="lessThan">
      <formula>-0.07</formula>
    </cfRule>
    <cfRule type="cellIs" dxfId="10" priority="2" operator="greaterThan">
      <formula>0.07</formula>
    </cfRule>
  </conditionalFormatting>
  <conditionalFormatting sqref="J18:J30">
    <cfRule type="expression" dxfId="9" priority="3">
      <formula>ABS(J18-J17)&gt;10%</formula>
    </cfRule>
  </conditionalFormatting>
  <printOptions horizontalCentered="1" verticalCentered="1"/>
  <pageMargins left="0.5" right="0.5" top="0.75" bottom="0.75" header="0.3" footer="0.3"/>
  <pageSetup scale="90" orientation="portrait" r:id="rId1"/>
  <headerFooter>
    <oddHeader>&amp;C&amp;14Montana Department of Transportation
Concrete Combined Aggregate Optimization Charts</oddHeader>
    <oddFooter>&amp;CPage &amp;P of &amp;N</oddFooter>
  </headerFooter>
  <colBreaks count="1" manualBreakCount="1">
    <brk id="11" min="3" max="5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W198"/>
  <sheetViews>
    <sheetView view="pageBreakPreview" zoomScale="60" zoomScaleNormal="100" workbookViewId="0">
      <selection activeCell="AH6" sqref="AH6"/>
    </sheetView>
  </sheetViews>
  <sheetFormatPr defaultColWidth="9.140625" defaultRowHeight="15" x14ac:dyDescent="0.25"/>
  <cols>
    <col min="1" max="3" width="9.140625" style="436"/>
    <col min="4" max="4" width="9.140625" style="436" customWidth="1"/>
    <col min="5" max="5" width="9.140625" style="436"/>
    <col min="6" max="14" width="9.85546875" style="436" customWidth="1"/>
    <col min="15" max="18" width="2.28515625" style="436" customWidth="1"/>
    <col min="19" max="16384" width="9.140625" style="436"/>
  </cols>
  <sheetData>
    <row r="2" spans="1:18" ht="21" x14ac:dyDescent="0.35">
      <c r="F2" s="568" t="s">
        <v>183</v>
      </c>
    </row>
    <row r="3" spans="1:18" x14ac:dyDescent="0.25">
      <c r="F3" s="436" t="s">
        <v>182</v>
      </c>
    </row>
    <row r="4" spans="1:18" x14ac:dyDescent="0.25">
      <c r="E4" s="480"/>
      <c r="F4" s="463"/>
      <c r="G4" s="463"/>
      <c r="H4" s="463"/>
      <c r="I4" s="463"/>
      <c r="J4" s="509" t="e">
        <f>#REF!</f>
        <v>#REF!</v>
      </c>
      <c r="K4" s="463"/>
      <c r="L4" s="463"/>
      <c r="M4" s="463"/>
      <c r="N4" s="462"/>
    </row>
    <row r="5" spans="1:18" x14ac:dyDescent="0.25">
      <c r="E5" s="441"/>
      <c r="J5" s="508" t="e">
        <f>#REF!</f>
        <v>#REF!</v>
      </c>
      <c r="N5" s="440"/>
    </row>
    <row r="6" spans="1:18" x14ac:dyDescent="0.25">
      <c r="E6" s="441"/>
      <c r="N6" s="440"/>
    </row>
    <row r="7" spans="1:18" x14ac:dyDescent="0.25">
      <c r="E7" s="441"/>
      <c r="F7" s="507"/>
      <c r="G7" s="506" t="e">
        <f>#REF!</f>
        <v>#REF!</v>
      </c>
      <c r="H7" s="842" t="e">
        <f>#REF!</f>
        <v>#REF!</v>
      </c>
      <c r="I7" s="842"/>
      <c r="J7" s="842"/>
      <c r="K7" s="842"/>
      <c r="L7" s="843"/>
      <c r="N7" s="440"/>
    </row>
    <row r="8" spans="1:18" ht="15" customHeight="1" x14ac:dyDescent="0.25">
      <c r="E8" s="441"/>
      <c r="F8" s="505"/>
      <c r="G8" s="504" t="e">
        <f>#REF!</f>
        <v>#REF!</v>
      </c>
      <c r="H8" s="844" t="e">
        <f>#REF!</f>
        <v>#REF!</v>
      </c>
      <c r="I8" s="844"/>
      <c r="J8" s="844"/>
      <c r="K8" s="844"/>
      <c r="L8" s="845"/>
      <c r="N8" s="440"/>
      <c r="O8" s="848" t="e">
        <f>#REF!</f>
        <v>#REF!</v>
      </c>
      <c r="P8" s="850" t="e">
        <f>#REF!</f>
        <v>#REF!</v>
      </c>
      <c r="Q8" s="850" t="e">
        <f>#REF!</f>
        <v>#REF!</v>
      </c>
      <c r="R8" s="852" t="e">
        <f>#REF!</f>
        <v>#REF!</v>
      </c>
    </row>
    <row r="9" spans="1:18" x14ac:dyDescent="0.25">
      <c r="E9" s="441"/>
      <c r="F9" s="505"/>
      <c r="G9" s="504" t="e">
        <f>#REF!</f>
        <v>#REF!</v>
      </c>
      <c r="H9" s="844" t="e">
        <f>#REF!</f>
        <v>#REF!</v>
      </c>
      <c r="I9" s="844"/>
      <c r="J9" s="844"/>
      <c r="K9" s="844"/>
      <c r="L9" s="845"/>
      <c r="N9" s="440"/>
      <c r="O9" s="849"/>
      <c r="P9" s="851"/>
      <c r="Q9" s="851"/>
      <c r="R9" s="853"/>
    </row>
    <row r="10" spans="1:18" x14ac:dyDescent="0.25">
      <c r="E10" s="441"/>
      <c r="F10" s="503"/>
      <c r="G10" s="502" t="e">
        <f>#REF!</f>
        <v>#REF!</v>
      </c>
      <c r="H10" s="846" t="e">
        <f>#REF!</f>
        <v>#REF!</v>
      </c>
      <c r="I10" s="846"/>
      <c r="J10" s="846"/>
      <c r="K10" s="846"/>
      <c r="L10" s="847"/>
      <c r="N10" s="440"/>
      <c r="O10" s="849"/>
      <c r="P10" s="851"/>
      <c r="Q10" s="851"/>
      <c r="R10" s="853"/>
    </row>
    <row r="11" spans="1:18" x14ac:dyDescent="0.25">
      <c r="E11" s="441"/>
      <c r="N11" s="440"/>
      <c r="O11" s="849"/>
      <c r="P11" s="851"/>
      <c r="Q11" s="851"/>
      <c r="R11" s="853"/>
    </row>
    <row r="12" spans="1:18" x14ac:dyDescent="0.25">
      <c r="E12" s="441"/>
      <c r="H12" s="501"/>
      <c r="I12" s="465"/>
      <c r="J12" s="567" t="e">
        <f>#REF!</f>
        <v>#REF!</v>
      </c>
      <c r="K12" s="510" t="e">
        <f>#REF!</f>
        <v>#REF!</v>
      </c>
      <c r="L12" s="500" t="e">
        <f>#REF!</f>
        <v>#REF!</v>
      </c>
      <c r="N12" s="440"/>
      <c r="O12" s="849"/>
      <c r="P12" s="851"/>
      <c r="Q12" s="851"/>
      <c r="R12" s="853"/>
    </row>
    <row r="13" spans="1:18" x14ac:dyDescent="0.25">
      <c r="E13" s="499"/>
      <c r="F13" s="480" t="e">
        <f>#REF!</f>
        <v>#REF!</v>
      </c>
      <c r="G13" s="463"/>
      <c r="H13" s="462"/>
      <c r="I13" s="480" t="e">
        <f>#REF!</f>
        <v>#REF!</v>
      </c>
      <c r="J13" s="480" t="e">
        <f>#REF!</f>
        <v>#REF!</v>
      </c>
      <c r="K13" s="462"/>
      <c r="L13" s="480" t="e">
        <f>#REF!</f>
        <v>#REF!</v>
      </c>
      <c r="M13" s="462"/>
      <c r="N13" s="545" t="e">
        <f>#REF!</f>
        <v>#REF!</v>
      </c>
      <c r="O13" s="849"/>
      <c r="P13" s="851"/>
      <c r="Q13" s="851"/>
      <c r="R13" s="853"/>
    </row>
    <row r="14" spans="1:18" x14ac:dyDescent="0.25">
      <c r="E14" s="498"/>
      <c r="F14" s="566" t="e">
        <f>#REF!</f>
        <v>#REF!</v>
      </c>
      <c r="G14" s="457" t="e">
        <f>#REF!</f>
        <v>#REF!</v>
      </c>
      <c r="H14" s="565" t="e">
        <f>#REF!</f>
        <v>#REF!</v>
      </c>
      <c r="I14" s="565" t="e">
        <f>#REF!</f>
        <v>#REF!</v>
      </c>
      <c r="J14" s="566" t="e">
        <f>#REF!</f>
        <v>#REF!</v>
      </c>
      <c r="K14" s="565" t="e">
        <f>#REF!</f>
        <v>#REF!</v>
      </c>
      <c r="L14" s="441" t="e">
        <f>#REF!</f>
        <v>#REF!</v>
      </c>
      <c r="M14" s="440"/>
      <c r="N14" s="564" t="e">
        <f>#REF!</f>
        <v>#REF!</v>
      </c>
      <c r="O14" s="849"/>
      <c r="P14" s="851"/>
      <c r="Q14" s="851"/>
      <c r="R14" s="853"/>
    </row>
    <row r="15" spans="1:18" x14ac:dyDescent="0.25">
      <c r="A15" s="480" t="s">
        <v>181</v>
      </c>
      <c r="B15" s="463"/>
      <c r="C15" s="462"/>
      <c r="E15" s="497" t="e">
        <f>#REF!</f>
        <v>#REF!</v>
      </c>
      <c r="F15" s="496" t="e">
        <f>#REF!</f>
        <v>#REF!</v>
      </c>
      <c r="G15" s="563" t="e">
        <f>#REF!</f>
        <v>#REF!</v>
      </c>
      <c r="H15" s="562" t="e">
        <f>#REF!</f>
        <v>#REF!</v>
      </c>
      <c r="I15" s="562" t="e">
        <f>#REF!</f>
        <v>#REF!</v>
      </c>
      <c r="J15" s="496" t="e">
        <f>#REF!</f>
        <v>#REF!</v>
      </c>
      <c r="K15" s="562" t="e">
        <f>#REF!</f>
        <v>#REF!</v>
      </c>
      <c r="L15" s="496" t="e">
        <f>#REF!</f>
        <v>#REF!</v>
      </c>
      <c r="M15" s="562" t="e">
        <f>#REF!</f>
        <v>#REF!</v>
      </c>
      <c r="N15" s="561" t="e">
        <f>#REF!</f>
        <v>#REF!</v>
      </c>
      <c r="O15" s="849"/>
      <c r="P15" s="851"/>
      <c r="Q15" s="851"/>
      <c r="R15" s="853"/>
    </row>
    <row r="16" spans="1:18" x14ac:dyDescent="0.25">
      <c r="A16" s="441">
        <v>0</v>
      </c>
      <c r="B16" s="436">
        <v>0</v>
      </c>
      <c r="C16" s="513">
        <f t="shared" ref="C16:C28" si="0">1-(A16+B16)/2/100</f>
        <v>1</v>
      </c>
      <c r="D16" s="516" t="e">
        <f>#REF!-#REF!</f>
        <v>#REF!</v>
      </c>
      <c r="E16" s="495" t="e">
        <f>#REF!</f>
        <v>#REF!</v>
      </c>
      <c r="F16" s="559" t="e">
        <f>#REF!</f>
        <v>#REF!</v>
      </c>
      <c r="G16" s="560" t="e">
        <f>#REF!</f>
        <v>#REF!</v>
      </c>
      <c r="H16" s="558" t="e">
        <f>#REF!</f>
        <v>#REF!</v>
      </c>
      <c r="I16" s="558" t="e">
        <f>#REF!</f>
        <v>#REF!</v>
      </c>
      <c r="J16" s="559" t="e">
        <f>#REF!</f>
        <v>#REF!</v>
      </c>
      <c r="K16" s="558" t="e">
        <f>#REF!</f>
        <v>#REF!</v>
      </c>
      <c r="L16" s="494" t="e">
        <f>#REF!</f>
        <v>#REF!</v>
      </c>
      <c r="M16" s="493" t="e">
        <f>#REF!</f>
        <v>#REF!</v>
      </c>
      <c r="N16" s="454" t="e">
        <f>#REF!</f>
        <v>#REF!</v>
      </c>
      <c r="O16" s="849"/>
      <c r="P16" s="851"/>
      <c r="Q16" s="851"/>
      <c r="R16" s="853"/>
    </row>
    <row r="17" spans="1:18" x14ac:dyDescent="0.25">
      <c r="A17" s="441">
        <v>0</v>
      </c>
      <c r="B17" s="436">
        <v>0</v>
      </c>
      <c r="C17" s="513">
        <f t="shared" si="0"/>
        <v>1</v>
      </c>
      <c r="D17" s="516" t="e">
        <f>#REF!-#REF!</f>
        <v>#REF!</v>
      </c>
      <c r="E17" s="492" t="e">
        <f>#REF!</f>
        <v>#REF!</v>
      </c>
      <c r="F17" s="556" t="e">
        <f>#REF!</f>
        <v>#REF!</v>
      </c>
      <c r="G17" s="557" t="e">
        <f>#REF!</f>
        <v>#REF!</v>
      </c>
      <c r="H17" s="555" t="e">
        <f>#REF!</f>
        <v>#REF!</v>
      </c>
      <c r="I17" s="555" t="e">
        <f>#REF!</f>
        <v>#REF!</v>
      </c>
      <c r="J17" s="556" t="e">
        <f>#REF!</f>
        <v>#REF!</v>
      </c>
      <c r="K17" s="555" t="e">
        <f>#REF!</f>
        <v>#REF!</v>
      </c>
      <c r="L17" s="487" t="e">
        <f>#REF!</f>
        <v>#REF!</v>
      </c>
      <c r="M17" s="486" t="e">
        <f>#REF!</f>
        <v>#REF!</v>
      </c>
      <c r="N17" s="445" t="e">
        <f>#REF!</f>
        <v>#REF!</v>
      </c>
      <c r="O17" s="849"/>
      <c r="P17" s="851"/>
      <c r="Q17" s="851"/>
      <c r="R17" s="853"/>
    </row>
    <row r="18" spans="1:18" x14ac:dyDescent="0.25">
      <c r="A18" s="441">
        <v>0</v>
      </c>
      <c r="B18" s="436">
        <v>0</v>
      </c>
      <c r="C18" s="513">
        <f t="shared" si="0"/>
        <v>1</v>
      </c>
      <c r="D18" s="516" t="e">
        <f>#REF!-#REF!</f>
        <v>#REF!</v>
      </c>
      <c r="E18" s="488" t="e">
        <f>#REF!</f>
        <v>#REF!</v>
      </c>
      <c r="F18" s="556" t="e">
        <f>#REF!</f>
        <v>#REF!</v>
      </c>
      <c r="G18" s="557" t="e">
        <f>#REF!</f>
        <v>#REF!</v>
      </c>
      <c r="H18" s="555" t="e">
        <f>#REF!</f>
        <v>#REF!</v>
      </c>
      <c r="I18" s="555" t="e">
        <f>#REF!</f>
        <v>#REF!</v>
      </c>
      <c r="J18" s="556" t="e">
        <f>#REF!</f>
        <v>#REF!</v>
      </c>
      <c r="K18" s="555" t="e">
        <f>#REF!</f>
        <v>#REF!</v>
      </c>
      <c r="L18" s="487" t="e">
        <f>#REF!</f>
        <v>#REF!</v>
      </c>
      <c r="M18" s="486" t="e">
        <f>#REF!</f>
        <v>#REF!</v>
      </c>
      <c r="N18" s="445" t="e">
        <f>#REF!</f>
        <v>#REF!</v>
      </c>
      <c r="O18" s="849"/>
      <c r="P18" s="851"/>
      <c r="Q18" s="851"/>
      <c r="R18" s="853"/>
    </row>
    <row r="19" spans="1:18" x14ac:dyDescent="0.25">
      <c r="A19" s="441">
        <v>0</v>
      </c>
      <c r="B19" s="436">
        <v>0</v>
      </c>
      <c r="C19" s="513">
        <f t="shared" si="0"/>
        <v>1</v>
      </c>
      <c r="D19" s="516" t="e">
        <f>#REF!-#REF!</f>
        <v>#REF!</v>
      </c>
      <c r="E19" s="491" t="e">
        <f>#REF!</f>
        <v>#REF!</v>
      </c>
      <c r="F19" s="556" t="e">
        <f>#REF!</f>
        <v>#REF!</v>
      </c>
      <c r="G19" s="557" t="e">
        <f>#REF!</f>
        <v>#REF!</v>
      </c>
      <c r="H19" s="555" t="e">
        <f>#REF!</f>
        <v>#REF!</v>
      </c>
      <c r="I19" s="555" t="e">
        <f>#REF!</f>
        <v>#REF!</v>
      </c>
      <c r="J19" s="556" t="e">
        <f>#REF!</f>
        <v>#REF!</v>
      </c>
      <c r="K19" s="555" t="e">
        <f>#REF!</f>
        <v>#REF!</v>
      </c>
      <c r="L19" s="487" t="e">
        <f>#REF!</f>
        <v>#REF!</v>
      </c>
      <c r="M19" s="486" t="e">
        <f>#REF!</f>
        <v>#REF!</v>
      </c>
      <c r="N19" s="445" t="e">
        <f>#REF!</f>
        <v>#REF!</v>
      </c>
      <c r="O19" s="849"/>
      <c r="P19" s="851"/>
      <c r="Q19" s="851"/>
      <c r="R19" s="853"/>
    </row>
    <row r="20" spans="1:18" x14ac:dyDescent="0.25">
      <c r="A20" s="441">
        <v>5</v>
      </c>
      <c r="B20" s="436">
        <v>15</v>
      </c>
      <c r="C20" s="513">
        <f t="shared" si="0"/>
        <v>0.9</v>
      </c>
      <c r="D20" s="516" t="e">
        <f>#REF!-#REF!</f>
        <v>#REF!</v>
      </c>
      <c r="E20" s="490" t="e">
        <f>#REF!</f>
        <v>#REF!</v>
      </c>
      <c r="F20" s="556" t="e">
        <f>#REF!</f>
        <v>#REF!</v>
      </c>
      <c r="G20" s="557" t="e">
        <f>#REF!</f>
        <v>#REF!</v>
      </c>
      <c r="H20" s="555" t="e">
        <f>#REF!</f>
        <v>#REF!</v>
      </c>
      <c r="I20" s="555" t="e">
        <f>#REF!</f>
        <v>#REF!</v>
      </c>
      <c r="J20" s="556" t="e">
        <f>#REF!</f>
        <v>#REF!</v>
      </c>
      <c r="K20" s="555" t="e">
        <f>#REF!</f>
        <v>#REF!</v>
      </c>
      <c r="L20" s="487" t="e">
        <f>#REF!</f>
        <v>#REF!</v>
      </c>
      <c r="M20" s="486" t="e">
        <f>#REF!</f>
        <v>#REF!</v>
      </c>
      <c r="N20" s="445" t="e">
        <f>#REF!</f>
        <v>#REF!</v>
      </c>
      <c r="O20" s="849"/>
      <c r="P20" s="851"/>
      <c r="Q20" s="851"/>
      <c r="R20" s="853"/>
    </row>
    <row r="21" spans="1:18" ht="15" customHeight="1" x14ac:dyDescent="0.25">
      <c r="A21" s="441">
        <v>19</v>
      </c>
      <c r="B21" s="436">
        <v>29</v>
      </c>
      <c r="C21" s="513">
        <f t="shared" si="0"/>
        <v>0.76</v>
      </c>
      <c r="D21" s="516" t="e">
        <f>#REF!-#REF!</f>
        <v>#REF!</v>
      </c>
      <c r="E21" s="489" t="e">
        <f>#REF!</f>
        <v>#REF!</v>
      </c>
      <c r="F21" s="556" t="e">
        <f>#REF!</f>
        <v>#REF!</v>
      </c>
      <c r="G21" s="557" t="e">
        <f>#REF!</f>
        <v>#REF!</v>
      </c>
      <c r="H21" s="555" t="e">
        <f>#REF!</f>
        <v>#REF!</v>
      </c>
      <c r="I21" s="555" t="e">
        <f>#REF!</f>
        <v>#REF!</v>
      </c>
      <c r="J21" s="556" t="e">
        <f>#REF!</f>
        <v>#REF!</v>
      </c>
      <c r="K21" s="555" t="e">
        <f>#REF!</f>
        <v>#REF!</v>
      </c>
      <c r="L21" s="487" t="e">
        <f>#REF!</f>
        <v>#REF!</v>
      </c>
      <c r="M21" s="486" t="e">
        <f>#REF!</f>
        <v>#REF!</v>
      </c>
      <c r="N21" s="445" t="e">
        <f>#REF!</f>
        <v>#REF!</v>
      </c>
      <c r="O21" s="854" t="e">
        <f>#REF!</f>
        <v>#REF!</v>
      </c>
      <c r="P21" s="856" t="e">
        <f>#REF!</f>
        <v>#REF!</v>
      </c>
      <c r="Q21" s="856" t="e">
        <f>#REF!</f>
        <v>#REF!</v>
      </c>
      <c r="R21" s="858" t="e">
        <f>#REF!</f>
        <v>#REF!</v>
      </c>
    </row>
    <row r="22" spans="1:18" x14ac:dyDescent="0.25">
      <c r="A22" s="441">
        <v>36</v>
      </c>
      <c r="B22" s="436">
        <v>46</v>
      </c>
      <c r="C22" s="513">
        <f t="shared" si="0"/>
        <v>0.59000000000000008</v>
      </c>
      <c r="D22" s="516" t="e">
        <f>#REF!-#REF!</f>
        <v>#REF!</v>
      </c>
      <c r="E22" s="488" t="e">
        <f>#REF!</f>
        <v>#REF!</v>
      </c>
      <c r="F22" s="556" t="e">
        <f>#REF!</f>
        <v>#REF!</v>
      </c>
      <c r="G22" s="557" t="e">
        <f>#REF!</f>
        <v>#REF!</v>
      </c>
      <c r="H22" s="555" t="e">
        <f>#REF!</f>
        <v>#REF!</v>
      </c>
      <c r="I22" s="555" t="e">
        <f>#REF!</f>
        <v>#REF!</v>
      </c>
      <c r="J22" s="556" t="e">
        <f>#REF!</f>
        <v>#REF!</v>
      </c>
      <c r="K22" s="555" t="e">
        <f>#REF!</f>
        <v>#REF!</v>
      </c>
      <c r="L22" s="487" t="e">
        <f>#REF!</f>
        <v>#REF!</v>
      </c>
      <c r="M22" s="486" t="e">
        <f>#REF!</f>
        <v>#REF!</v>
      </c>
      <c r="N22" s="445" t="e">
        <f>#REF!</f>
        <v>#REF!</v>
      </c>
      <c r="O22" s="854"/>
      <c r="P22" s="856"/>
      <c r="Q22" s="856"/>
      <c r="R22" s="858"/>
    </row>
    <row r="23" spans="1:18" x14ac:dyDescent="0.25">
      <c r="A23" s="441">
        <v>53</v>
      </c>
      <c r="B23" s="436">
        <v>63</v>
      </c>
      <c r="C23" s="513">
        <f t="shared" si="0"/>
        <v>0.42000000000000004</v>
      </c>
      <c r="D23" s="516" t="e">
        <f>#REF!-#REF!</f>
        <v>#REF!</v>
      </c>
      <c r="E23" s="488" t="e">
        <f>#REF!</f>
        <v>#REF!</v>
      </c>
      <c r="F23" s="556" t="e">
        <f>#REF!</f>
        <v>#REF!</v>
      </c>
      <c r="G23" s="557" t="e">
        <f>#REF!</f>
        <v>#REF!</v>
      </c>
      <c r="H23" s="555" t="e">
        <f>#REF!</f>
        <v>#REF!</v>
      </c>
      <c r="I23" s="555" t="e">
        <f>#REF!</f>
        <v>#REF!</v>
      </c>
      <c r="J23" s="556" t="e">
        <f>#REF!</f>
        <v>#REF!</v>
      </c>
      <c r="K23" s="555" t="e">
        <f>#REF!</f>
        <v>#REF!</v>
      </c>
      <c r="L23" s="487" t="e">
        <f>#REF!</f>
        <v>#REF!</v>
      </c>
      <c r="M23" s="486" t="e">
        <f>#REF!</f>
        <v>#REF!</v>
      </c>
      <c r="N23" s="445" t="e">
        <f>#REF!</f>
        <v>#REF!</v>
      </c>
      <c r="O23" s="854"/>
      <c r="P23" s="856"/>
      <c r="Q23" s="856"/>
      <c r="R23" s="858"/>
    </row>
    <row r="24" spans="1:18" x14ac:dyDescent="0.25">
      <c r="A24" s="441">
        <v>67</v>
      </c>
      <c r="B24" s="436">
        <v>77</v>
      </c>
      <c r="C24" s="513">
        <f t="shared" si="0"/>
        <v>0.28000000000000003</v>
      </c>
      <c r="D24" s="516" t="e">
        <f>#REF!-#REF!</f>
        <v>#REF!</v>
      </c>
      <c r="E24" s="488" t="e">
        <f>#REF!</f>
        <v>#REF!</v>
      </c>
      <c r="F24" s="556" t="e">
        <f>#REF!</f>
        <v>#REF!</v>
      </c>
      <c r="G24" s="557" t="e">
        <f>#REF!</f>
        <v>#REF!</v>
      </c>
      <c r="H24" s="555" t="e">
        <f>#REF!</f>
        <v>#REF!</v>
      </c>
      <c r="I24" s="555" t="e">
        <f>#REF!</f>
        <v>#REF!</v>
      </c>
      <c r="J24" s="556" t="e">
        <f>#REF!</f>
        <v>#REF!</v>
      </c>
      <c r="K24" s="555" t="e">
        <f>#REF!</f>
        <v>#REF!</v>
      </c>
      <c r="L24" s="487" t="e">
        <f>#REF!</f>
        <v>#REF!</v>
      </c>
      <c r="M24" s="486" t="e">
        <f>#REF!</f>
        <v>#REF!</v>
      </c>
      <c r="N24" s="445" t="e">
        <f>#REF!</f>
        <v>#REF!</v>
      </c>
      <c r="O24" s="854"/>
      <c r="P24" s="856"/>
      <c r="Q24" s="856"/>
      <c r="R24" s="858"/>
    </row>
    <row r="25" spans="1:18" x14ac:dyDescent="0.25">
      <c r="A25" s="441">
        <v>80</v>
      </c>
      <c r="B25" s="436">
        <v>88</v>
      </c>
      <c r="C25" s="513">
        <f t="shared" si="0"/>
        <v>0.16000000000000003</v>
      </c>
      <c r="D25" s="516" t="e">
        <f>#REF!-#REF!</f>
        <v>#REF!</v>
      </c>
      <c r="E25" s="488" t="e">
        <f>#REF!</f>
        <v>#REF!</v>
      </c>
      <c r="F25" s="556" t="e">
        <f>#REF!</f>
        <v>#REF!</v>
      </c>
      <c r="G25" s="557" t="e">
        <f>#REF!</f>
        <v>#REF!</v>
      </c>
      <c r="H25" s="555" t="e">
        <f>#REF!</f>
        <v>#REF!</v>
      </c>
      <c r="I25" s="555" t="e">
        <f>#REF!</f>
        <v>#REF!</v>
      </c>
      <c r="J25" s="556" t="e">
        <f>#REF!</f>
        <v>#REF!</v>
      </c>
      <c r="K25" s="555" t="e">
        <f>#REF!</f>
        <v>#REF!</v>
      </c>
      <c r="L25" s="487" t="e">
        <f>#REF!</f>
        <v>#REF!</v>
      </c>
      <c r="M25" s="486" t="e">
        <f>#REF!</f>
        <v>#REF!</v>
      </c>
      <c r="N25" s="445" t="e">
        <f>#REF!</f>
        <v>#REF!</v>
      </c>
      <c r="O25" s="854"/>
      <c r="P25" s="856"/>
      <c r="Q25" s="856"/>
      <c r="R25" s="858"/>
    </row>
    <row r="26" spans="1:18" x14ac:dyDescent="0.25">
      <c r="A26" s="441">
        <v>89</v>
      </c>
      <c r="B26" s="436">
        <v>97</v>
      </c>
      <c r="C26" s="513">
        <f t="shared" si="0"/>
        <v>6.9999999999999951E-2</v>
      </c>
      <c r="D26" s="516" t="e">
        <f>#REF!-#REF!</f>
        <v>#REF!</v>
      </c>
      <c r="E26" s="488" t="e">
        <f>#REF!</f>
        <v>#REF!</v>
      </c>
      <c r="F26" s="556" t="e">
        <f>#REF!</f>
        <v>#REF!</v>
      </c>
      <c r="G26" s="557" t="e">
        <f>#REF!</f>
        <v>#REF!</v>
      </c>
      <c r="H26" s="555" t="e">
        <f>#REF!</f>
        <v>#REF!</v>
      </c>
      <c r="I26" s="555" t="e">
        <f>#REF!</f>
        <v>#REF!</v>
      </c>
      <c r="J26" s="556" t="e">
        <f>#REF!</f>
        <v>#REF!</v>
      </c>
      <c r="K26" s="555" t="e">
        <f>#REF!</f>
        <v>#REF!</v>
      </c>
      <c r="L26" s="487" t="e">
        <f>#REF!</f>
        <v>#REF!</v>
      </c>
      <c r="M26" s="486" t="e">
        <f>#REF!</f>
        <v>#REF!</v>
      </c>
      <c r="N26" s="445" t="e">
        <f>#REF!</f>
        <v>#REF!</v>
      </c>
      <c r="O26" s="855"/>
      <c r="P26" s="857"/>
      <c r="Q26" s="857"/>
      <c r="R26" s="859"/>
    </row>
    <row r="27" spans="1:18" x14ac:dyDescent="0.25">
      <c r="A27" s="441">
        <v>95</v>
      </c>
      <c r="B27" s="436">
        <v>100</v>
      </c>
      <c r="C27" s="513">
        <f t="shared" si="0"/>
        <v>2.5000000000000022E-2</v>
      </c>
      <c r="D27" s="516" t="e">
        <f>#REF!-#REF!</f>
        <v>#REF!</v>
      </c>
      <c r="E27" s="488" t="e">
        <f>#REF!</f>
        <v>#REF!</v>
      </c>
      <c r="F27" s="556" t="e">
        <f>#REF!</f>
        <v>#REF!</v>
      </c>
      <c r="G27" s="557" t="e">
        <f>#REF!</f>
        <v>#REF!</v>
      </c>
      <c r="H27" s="555" t="e">
        <f>#REF!</f>
        <v>#REF!</v>
      </c>
      <c r="I27" s="555" t="e">
        <f>#REF!</f>
        <v>#REF!</v>
      </c>
      <c r="J27" s="556" t="e">
        <f>#REF!</f>
        <v>#REF!</v>
      </c>
      <c r="K27" s="555" t="e">
        <f>#REF!</f>
        <v>#REF!</v>
      </c>
      <c r="L27" s="487" t="e">
        <f>#REF!</f>
        <v>#REF!</v>
      </c>
      <c r="M27" s="486" t="e">
        <f>#REF!</f>
        <v>#REF!</v>
      </c>
      <c r="N27" s="445" t="e">
        <f>#REF!</f>
        <v>#REF!</v>
      </c>
      <c r="O27" s="452"/>
      <c r="P27" s="452"/>
      <c r="Q27" s="452"/>
      <c r="R27" s="452"/>
    </row>
    <row r="28" spans="1:18" x14ac:dyDescent="0.25">
      <c r="A28" s="439">
        <v>98</v>
      </c>
      <c r="B28" s="438">
        <v>100</v>
      </c>
      <c r="C28" s="511">
        <f t="shared" si="0"/>
        <v>1.0000000000000009E-2</v>
      </c>
      <c r="D28" s="516" t="e">
        <f>#REF!-#REF!</f>
        <v>#REF!</v>
      </c>
      <c r="E28" s="488" t="e">
        <f>#REF!</f>
        <v>#REF!</v>
      </c>
      <c r="F28" s="556" t="e">
        <f>#REF!</f>
        <v>#REF!</v>
      </c>
      <c r="G28" s="557" t="e">
        <f>#REF!</f>
        <v>#REF!</v>
      </c>
      <c r="H28" s="555" t="e">
        <f>#REF!</f>
        <v>#REF!</v>
      </c>
      <c r="I28" s="555" t="e">
        <f>#REF!</f>
        <v>#REF!</v>
      </c>
      <c r="J28" s="556" t="e">
        <f>#REF!</f>
        <v>#REF!</v>
      </c>
      <c r="K28" s="555" t="e">
        <f>#REF!</f>
        <v>#REF!</v>
      </c>
      <c r="L28" s="487" t="e">
        <f>#REF!</f>
        <v>#REF!</v>
      </c>
      <c r="M28" s="486" t="e">
        <f>#REF!</f>
        <v>#REF!</v>
      </c>
      <c r="N28" s="445" t="e">
        <f>#REF!</f>
        <v>#REF!</v>
      </c>
      <c r="O28" s="452"/>
      <c r="P28" s="452"/>
      <c r="Q28" s="452"/>
      <c r="R28" s="452"/>
    </row>
    <row r="29" spans="1:18" x14ac:dyDescent="0.25">
      <c r="E29" s="485" t="e">
        <f>#REF!</f>
        <v>#REF!</v>
      </c>
      <c r="F29" s="553" t="e">
        <f>#REF!</f>
        <v>#REF!</v>
      </c>
      <c r="G29" s="554" t="e">
        <f>#REF!</f>
        <v>#REF!</v>
      </c>
      <c r="H29" s="552" t="e">
        <f>#REF!</f>
        <v>#REF!</v>
      </c>
      <c r="I29" s="552" t="e">
        <f>#REF!</f>
        <v>#REF!</v>
      </c>
      <c r="J29" s="553" t="e">
        <f>#REF!</f>
        <v>#REF!</v>
      </c>
      <c r="K29" s="552" t="e">
        <f>#REF!</f>
        <v>#REF!</v>
      </c>
      <c r="L29" s="484" t="e">
        <f>#REF!</f>
        <v>#REF!</v>
      </c>
      <c r="M29" s="483" t="e">
        <f>#REF!</f>
        <v>#REF!</v>
      </c>
      <c r="N29" s="442" t="e">
        <f>#REF!</f>
        <v>#REF!</v>
      </c>
      <c r="O29" s="452"/>
      <c r="P29" s="452"/>
      <c r="Q29" s="452"/>
      <c r="R29" s="452"/>
    </row>
    <row r="30" spans="1:18" x14ac:dyDescent="0.25">
      <c r="E30" s="482" t="e">
        <f>#REF!</f>
        <v>#REF!</v>
      </c>
      <c r="F30" s="550" t="e">
        <f>#REF!</f>
        <v>#REF!</v>
      </c>
      <c r="G30" s="551" t="e">
        <f>#REF!</f>
        <v>#REF!</v>
      </c>
      <c r="H30" s="549" t="e">
        <f>#REF!</f>
        <v>#REF!</v>
      </c>
      <c r="I30" s="549" t="e">
        <f>#REF!</f>
        <v>#REF!</v>
      </c>
      <c r="J30" s="550" t="e">
        <f>#REF!</f>
        <v>#REF!</v>
      </c>
      <c r="K30" s="549" t="e">
        <f>#REF!</f>
        <v>#REF!</v>
      </c>
      <c r="L30" s="481" t="e">
        <f>#REF!</f>
        <v>#REF!</v>
      </c>
      <c r="N30" s="440"/>
    </row>
    <row r="31" spans="1:18" x14ac:dyDescent="0.25">
      <c r="E31" s="441"/>
      <c r="G31" s="480"/>
      <c r="H31" s="463"/>
      <c r="I31" s="479" t="e">
        <f>#REF!</f>
        <v>#REF!</v>
      </c>
      <c r="J31" s="478" t="e">
        <f>#REF!</f>
        <v>#REF!</v>
      </c>
      <c r="K31" s="477" t="e">
        <f>#REF!</f>
        <v>#REF!</v>
      </c>
      <c r="L31" s="463"/>
      <c r="M31" s="463"/>
      <c r="N31" s="462"/>
    </row>
    <row r="32" spans="1:18" x14ac:dyDescent="0.25">
      <c r="E32" s="441"/>
      <c r="G32" s="476"/>
      <c r="H32" s="472"/>
      <c r="I32" s="475" t="e">
        <f>#REF!</f>
        <v>#REF!</v>
      </c>
      <c r="J32" s="474" t="e">
        <f>#REF!</f>
        <v>#REF!</v>
      </c>
      <c r="K32" s="473" t="e">
        <f>#REF!</f>
        <v>#REF!</v>
      </c>
      <c r="L32" s="472"/>
      <c r="M32" s="472"/>
      <c r="N32" s="471"/>
    </row>
    <row r="33" spans="5:49" ht="15.75" x14ac:dyDescent="0.25">
      <c r="E33" s="441"/>
      <c r="G33" s="470"/>
      <c r="H33" s="467"/>
      <c r="I33" s="467"/>
      <c r="J33" s="469" t="e">
        <f>#REF!</f>
        <v>#REF!</v>
      </c>
      <c r="K33" s="468" t="e">
        <f>#REF!</f>
        <v>#REF!</v>
      </c>
      <c r="L33" s="467"/>
      <c r="M33" s="467"/>
      <c r="N33" s="466"/>
      <c r="O33" s="548"/>
      <c r="P33" s="548"/>
      <c r="Q33" s="548"/>
      <c r="R33" s="548"/>
    </row>
    <row r="34" spans="5:49" x14ac:dyDescent="0.25">
      <c r="E34" s="441"/>
      <c r="N34" s="440"/>
    </row>
    <row r="35" spans="5:49" x14ac:dyDescent="0.25">
      <c r="E35" s="441"/>
      <c r="J35" s="464" t="e">
        <f>#REF!</f>
        <v>#REF!</v>
      </c>
      <c r="K35" s="463"/>
      <c r="L35" s="463"/>
      <c r="M35" s="462"/>
      <c r="N35" s="440"/>
    </row>
    <row r="36" spans="5:49" x14ac:dyDescent="0.25">
      <c r="E36" s="441"/>
      <c r="J36" s="439"/>
      <c r="K36" s="438"/>
      <c r="L36" s="461" t="e">
        <f>#REF!</f>
        <v>#REF!</v>
      </c>
      <c r="M36" s="460" t="e">
        <f>#REF!</f>
        <v>#REF!</v>
      </c>
      <c r="N36" s="440"/>
    </row>
    <row r="37" spans="5:49" x14ac:dyDescent="0.25">
      <c r="E37" s="441"/>
      <c r="J37" s="547" t="e">
        <f>#REF!</f>
        <v>#REF!</v>
      </c>
      <c r="K37" s="459" t="e">
        <f>#REF!</f>
        <v>#REF!</v>
      </c>
      <c r="L37" s="458" t="e">
        <f>#REF!</f>
        <v>#REF!</v>
      </c>
      <c r="M37" s="547" t="e">
        <f>#REF!</f>
        <v>#REF!</v>
      </c>
      <c r="N37" s="440"/>
      <c r="U37" s="457"/>
      <c r="V37" s="457"/>
    </row>
    <row r="38" spans="5:49" x14ac:dyDescent="0.25">
      <c r="E38" s="441"/>
      <c r="J38" s="456" t="e">
        <f>#REF!</f>
        <v>#REF!</v>
      </c>
      <c r="K38" s="455" t="e">
        <f>#REF!</f>
        <v>#REF!</v>
      </c>
      <c r="L38" s="454" t="e">
        <f>#REF!</f>
        <v>#REF!</v>
      </c>
      <c r="M38" s="454" t="e">
        <f>#REF!</f>
        <v>#REF!</v>
      </c>
      <c r="N38" s="440"/>
      <c r="T38" s="451"/>
      <c r="U38" s="528"/>
      <c r="V38" s="528"/>
      <c r="AE38" s="480"/>
      <c r="AF38" s="546" t="s">
        <v>180</v>
      </c>
      <c r="AG38" s="545" t="str">
        <f>VLOOKUP(MAX(AE43:AE56),AD43:AH56,4)</f>
        <v>Pan</v>
      </c>
      <c r="AO38" s="480" t="s">
        <v>179</v>
      </c>
      <c r="AP38" s="462" t="e">
        <f>1/AG39</f>
        <v>#DIV/0!</v>
      </c>
      <c r="AR38" s="480"/>
      <c r="AS38" s="463"/>
      <c r="AT38" s="463"/>
      <c r="AU38" s="463"/>
      <c r="AV38" s="480" t="s">
        <v>179</v>
      </c>
      <c r="AW38" s="462" t="e">
        <f>SLOPE(AT43:AT56,AR43:AR56)</f>
        <v>#REF!</v>
      </c>
    </row>
    <row r="39" spans="5:49" x14ac:dyDescent="0.25">
      <c r="E39" s="441"/>
      <c r="J39" s="453" t="e">
        <f>#REF!</f>
        <v>#REF!</v>
      </c>
      <c r="K39" s="446" t="e">
        <f>#REF!</f>
        <v>#REF!</v>
      </c>
      <c r="L39" s="445" t="e">
        <f>#REF!</f>
        <v>#REF!</v>
      </c>
      <c r="M39" s="445" t="e">
        <f>#REF!</f>
        <v>#REF!</v>
      </c>
      <c r="N39" s="440"/>
      <c r="T39" s="451"/>
      <c r="U39" s="528"/>
      <c r="V39" s="528"/>
      <c r="AE39" s="439"/>
      <c r="AF39" s="544" t="s">
        <v>164</v>
      </c>
      <c r="AG39" s="543">
        <f>VLOOKUP(MAX(AE43:AE56),AD43:AH56,5)</f>
        <v>0</v>
      </c>
      <c r="AO39" s="441" t="s">
        <v>178</v>
      </c>
      <c r="AP39" s="440">
        <v>0</v>
      </c>
      <c r="AR39" s="441"/>
      <c r="AV39" s="441" t="s">
        <v>178</v>
      </c>
      <c r="AW39" s="440" t="e">
        <f>INTERCEPT(AT43:AT56,AR43:AR56)</f>
        <v>#REF!</v>
      </c>
    </row>
    <row r="40" spans="5:49" x14ac:dyDescent="0.25">
      <c r="E40" s="441"/>
      <c r="J40" s="447" t="e">
        <f>#REF!</f>
        <v>#REF!</v>
      </c>
      <c r="K40" s="446" t="e">
        <f>#REF!</f>
        <v>#REF!</v>
      </c>
      <c r="L40" s="445" t="e">
        <f>#REF!</f>
        <v>#REF!</v>
      </c>
      <c r="M40" s="445" t="e">
        <f>#REF!</f>
        <v>#REF!</v>
      </c>
      <c r="N40" s="440"/>
      <c r="T40" s="451"/>
      <c r="AF40" s="436" t="str">
        <f>"Nominal Maximum Size = "&amp;AG38</f>
        <v>Nominal Maximum Size = Pan</v>
      </c>
      <c r="AO40" s="439" t="s">
        <v>176</v>
      </c>
      <c r="AP40" s="521">
        <v>7.0000000000000007E-2</v>
      </c>
      <c r="AR40" s="542" t="s">
        <v>177</v>
      </c>
      <c r="AV40" s="439" t="s">
        <v>176</v>
      </c>
      <c r="AW40" s="511">
        <v>7.0000000000000007E-2</v>
      </c>
    </row>
    <row r="41" spans="5:49" x14ac:dyDescent="0.25">
      <c r="E41" s="441"/>
      <c r="J41" s="450" t="e">
        <f>#REF!</f>
        <v>#REF!</v>
      </c>
      <c r="K41" s="446" t="e">
        <f>#REF!</f>
        <v>#REF!</v>
      </c>
      <c r="L41" s="445" t="e">
        <f>#REF!</f>
        <v>#REF!</v>
      </c>
      <c r="M41" s="445" t="e">
        <f>#REF!</f>
        <v>#REF!</v>
      </c>
      <c r="N41" s="440"/>
      <c r="AD41" s="501" t="s">
        <v>175</v>
      </c>
      <c r="AE41" s="465"/>
      <c r="AF41" s="465"/>
      <c r="AG41" s="465"/>
      <c r="AH41" s="500"/>
      <c r="AK41" s="541">
        <v>1</v>
      </c>
      <c r="AR41" s="441"/>
      <c r="AW41" s="440"/>
    </row>
    <row r="42" spans="5:49" x14ac:dyDescent="0.25">
      <c r="E42" s="441"/>
      <c r="J42" s="449" t="e">
        <f>#REF!</f>
        <v>#REF!</v>
      </c>
      <c r="K42" s="446" t="e">
        <f>#REF!</f>
        <v>#REF!</v>
      </c>
      <c r="L42" s="445" t="e">
        <f>#REF!</f>
        <v>#REF!</v>
      </c>
      <c r="M42" s="445" t="e">
        <f>#REF!</f>
        <v>#REF!</v>
      </c>
      <c r="N42" s="440"/>
      <c r="AD42" s="439" t="s">
        <v>174</v>
      </c>
      <c r="AE42" s="438" t="s">
        <v>173</v>
      </c>
      <c r="AF42" s="519" t="e">
        <f>AM42</f>
        <v>#REF!</v>
      </c>
      <c r="AG42" s="519" t="str">
        <f>AL42</f>
        <v>Mesh</v>
      </c>
      <c r="AH42" s="540" t="s">
        <v>164</v>
      </c>
      <c r="AK42" s="480"/>
      <c r="AL42" s="463" t="str">
        <f>AD59</f>
        <v>Mesh</v>
      </c>
      <c r="AM42" s="539" t="e">
        <f>#REF!</f>
        <v>#REF!</v>
      </c>
      <c r="AN42" s="463" t="s">
        <v>172</v>
      </c>
      <c r="AO42" s="463" t="s">
        <v>155</v>
      </c>
      <c r="AP42" s="462" t="s">
        <v>154</v>
      </c>
      <c r="AQ42" s="436" t="s">
        <v>82</v>
      </c>
      <c r="AR42" s="441">
        <f>ROUND((AG39-$AH$74)*$AK$41,0)</f>
        <v>0</v>
      </c>
      <c r="AS42" s="463" t="str">
        <f>AD59</f>
        <v>Mesh</v>
      </c>
      <c r="AT42" s="539" t="e">
        <f>#REF!</f>
        <v>#REF!</v>
      </c>
      <c r="AU42" s="463" t="s">
        <v>171</v>
      </c>
      <c r="AV42" s="463" t="s">
        <v>155</v>
      </c>
      <c r="AW42" s="462" t="s">
        <v>154</v>
      </c>
    </row>
    <row r="43" spans="5:49" x14ac:dyDescent="0.25">
      <c r="E43" s="441"/>
      <c r="J43" s="448" t="e">
        <f>#REF!</f>
        <v>#REF!</v>
      </c>
      <c r="K43" s="446" t="e">
        <f>#REF!</f>
        <v>#REF!</v>
      </c>
      <c r="L43" s="445" t="e">
        <f>#REF!</f>
        <v>#REF!</v>
      </c>
      <c r="M43" s="445" t="e">
        <f>#REF!</f>
        <v>#REF!</v>
      </c>
      <c r="N43" s="440"/>
      <c r="AD43" s="480">
        <v>1</v>
      </c>
      <c r="AE43" s="463">
        <v>1</v>
      </c>
      <c r="AF43" s="538" t="e">
        <f>AM56</f>
        <v>#REF!</v>
      </c>
      <c r="AG43" s="538" t="str">
        <f>AL56</f>
        <v>Pan</v>
      </c>
      <c r="AH43" s="537">
        <f>AH74</f>
        <v>0</v>
      </c>
      <c r="AK43" s="441">
        <f t="shared" ref="AK43:AK56" si="1">ROUND((AH61-$AH$74)*$AK$41,0)</f>
        <v>131</v>
      </c>
      <c r="AL43" s="436" t="str">
        <f t="shared" ref="AL43:AL56" si="2">AD61</f>
        <v>2 in.</v>
      </c>
      <c r="AM43" s="452" t="e">
        <f>IF(#REF!=1,NA(),#REF!)</f>
        <v>#REF!</v>
      </c>
      <c r="AN43" s="452" t="e">
        <f t="shared" ref="AN43:AN55" si="3">IF(AL43=$AG$38,1,NA())</f>
        <v>#N/A</v>
      </c>
      <c r="AO43" s="452" t="e">
        <f>AP38*AK43-AP40</f>
        <v>#DIV/0!</v>
      </c>
      <c r="AP43" s="533" t="e">
        <f>AP38*AK43+AP40</f>
        <v>#DIV/0!</v>
      </c>
      <c r="AR43" s="441" t="str">
        <f t="shared" ref="AR43:AR56" si="4">IF(AK43&gt;$AR$42,"",AK43)</f>
        <v/>
      </c>
      <c r="AT43" s="452" t="str">
        <f t="shared" ref="AT43:AT56" si="5">IF(AK43&gt;$AR$42,"",AM43)</f>
        <v/>
      </c>
      <c r="AU43" s="452" t="e">
        <f>AK43*$AW$38+$AW$39</f>
        <v>#REF!</v>
      </c>
      <c r="AV43" s="452" t="e">
        <f>AU43-$AW$40</f>
        <v>#REF!</v>
      </c>
      <c r="AW43" s="533" t="str">
        <f t="shared" ref="AW43:AW56" si="6">IF(ISNUMBER(AU43),AU43+$AW$40,"")</f>
        <v/>
      </c>
    </row>
    <row r="44" spans="5:49" x14ac:dyDescent="0.25">
      <c r="E44" s="441"/>
      <c r="J44" s="447" t="e">
        <f>#REF!</f>
        <v>#REF!</v>
      </c>
      <c r="K44" s="446" t="e">
        <f>#REF!</f>
        <v>#REF!</v>
      </c>
      <c r="L44" s="445" t="e">
        <f>#REF!</f>
        <v>#REF!</v>
      </c>
      <c r="M44" s="445" t="e">
        <f>#REF!</f>
        <v>#REF!</v>
      </c>
      <c r="N44" s="440"/>
      <c r="AD44" s="441">
        <v>2</v>
      </c>
      <c r="AE44" s="436">
        <f t="shared" ref="AE44:AE56" si="7">IF(ISNUMBER(AF44),IF(AF43&lt;=0.9,AE43+1,0),0)</f>
        <v>0</v>
      </c>
      <c r="AF44" s="516" t="e">
        <f>AM55</f>
        <v>#REF!</v>
      </c>
      <c r="AG44" s="516" t="str">
        <f>AL55</f>
        <v>No. 200</v>
      </c>
      <c r="AH44" s="536">
        <f>AH73</f>
        <v>6.9367217454368229</v>
      </c>
      <c r="AK44" s="441">
        <f t="shared" si="1"/>
        <v>115</v>
      </c>
      <c r="AL44" s="436" t="str">
        <f t="shared" si="2"/>
        <v>1 1/2 in.</v>
      </c>
      <c r="AM44" s="452" t="e">
        <f>IF(#REF!=1,NA(),#REF!)</f>
        <v>#REF!</v>
      </c>
      <c r="AN44" s="452" t="e">
        <f t="shared" si="3"/>
        <v>#N/A</v>
      </c>
      <c r="AO44" s="452" t="e">
        <f t="shared" ref="AO44:AO56" si="8">IF(ISNA(AN44),NA(),AN44-$AP$40)</f>
        <v>#N/A</v>
      </c>
      <c r="AP44" s="533" t="e">
        <f t="shared" ref="AP44:AP56" si="9">IF(ISNA(AN44),NA(),AN44+$AP$40)</f>
        <v>#N/A</v>
      </c>
      <c r="AR44" s="441" t="str">
        <f t="shared" si="4"/>
        <v/>
      </c>
      <c r="AT44" s="452" t="str">
        <f t="shared" si="5"/>
        <v/>
      </c>
      <c r="AU44" s="452" t="e">
        <f>AK44*$AW$38+$AW$39</f>
        <v>#REF!</v>
      </c>
      <c r="AV44" s="452" t="e">
        <f>AU44-$AW$40</f>
        <v>#REF!</v>
      </c>
      <c r="AW44" s="533" t="str">
        <f t="shared" si="6"/>
        <v/>
      </c>
    </row>
    <row r="45" spans="5:49" x14ac:dyDescent="0.25">
      <c r="E45" s="441"/>
      <c r="J45" s="447" t="e">
        <f>#REF!</f>
        <v>#REF!</v>
      </c>
      <c r="K45" s="446" t="e">
        <f>#REF!</f>
        <v>#REF!</v>
      </c>
      <c r="L45" s="445" t="e">
        <f>#REF!</f>
        <v>#REF!</v>
      </c>
      <c r="M45" s="445" t="e">
        <f>#REF!</f>
        <v>#REF!</v>
      </c>
      <c r="N45" s="440"/>
      <c r="AD45" s="441">
        <v>3</v>
      </c>
      <c r="AE45" s="436">
        <f t="shared" si="7"/>
        <v>0</v>
      </c>
      <c r="AF45" s="516" t="e">
        <f>AM54</f>
        <v>#REF!</v>
      </c>
      <c r="AG45" s="516" t="str">
        <f>AL54</f>
        <v>No. 100</v>
      </c>
      <c r="AH45" s="536">
        <f>AH72</f>
        <v>9.5045994842303667</v>
      </c>
      <c r="AK45" s="441">
        <f t="shared" si="1"/>
        <v>96</v>
      </c>
      <c r="AL45" s="436" t="str">
        <f t="shared" si="2"/>
        <v>1 in.</v>
      </c>
      <c r="AM45" s="452" t="e">
        <f>IF(#REF!=1,NA(),#REF!)</f>
        <v>#REF!</v>
      </c>
      <c r="AN45" s="452" t="e">
        <f t="shared" si="3"/>
        <v>#N/A</v>
      </c>
      <c r="AO45" s="452" t="e">
        <f t="shared" si="8"/>
        <v>#N/A</v>
      </c>
      <c r="AP45" s="533" t="e">
        <f t="shared" si="9"/>
        <v>#N/A</v>
      </c>
      <c r="AR45" s="441" t="str">
        <f t="shared" si="4"/>
        <v/>
      </c>
      <c r="AT45" s="452" t="str">
        <f t="shared" si="5"/>
        <v/>
      </c>
      <c r="AU45" s="452" t="e">
        <f>AK45*$AW$38+$AW$39</f>
        <v>#REF!</v>
      </c>
      <c r="AV45" s="452" t="e">
        <f>AU45-$AW$40</f>
        <v>#REF!</v>
      </c>
      <c r="AW45" s="533" t="str">
        <f t="shared" si="6"/>
        <v/>
      </c>
    </row>
    <row r="46" spans="5:49" x14ac:dyDescent="0.25">
      <c r="E46" s="441"/>
      <c r="J46" s="447" t="e">
        <f>#REF!</f>
        <v>#REF!</v>
      </c>
      <c r="K46" s="446" t="e">
        <f>#REF!</f>
        <v>#REF!</v>
      </c>
      <c r="L46" s="445" t="e">
        <f>#REF!</f>
        <v>#REF!</v>
      </c>
      <c r="M46" s="445" t="e">
        <f>#REF!</f>
        <v>#REF!</v>
      </c>
      <c r="N46" s="440"/>
      <c r="AD46" s="441">
        <v>4</v>
      </c>
      <c r="AE46" s="436">
        <f t="shared" si="7"/>
        <v>0</v>
      </c>
      <c r="AF46" s="516" t="e">
        <f>AM53</f>
        <v>#REF!</v>
      </c>
      <c r="AG46" s="516" t="str">
        <f>AL53</f>
        <v>No. 50</v>
      </c>
      <c r="AH46" s="536">
        <f>AH71</f>
        <v>12.964041189051768</v>
      </c>
      <c r="AK46" s="441">
        <f t="shared" si="1"/>
        <v>84</v>
      </c>
      <c r="AL46" s="436" t="str">
        <f t="shared" si="2"/>
        <v>3/4 in.</v>
      </c>
      <c r="AM46" s="452" t="e">
        <f>IF(#REF!=1,NA(),#REF!)</f>
        <v>#REF!</v>
      </c>
      <c r="AN46" s="452" t="e">
        <f t="shared" si="3"/>
        <v>#N/A</v>
      </c>
      <c r="AO46" s="452" t="e">
        <f t="shared" si="8"/>
        <v>#N/A</v>
      </c>
      <c r="AP46" s="533" t="e">
        <f t="shared" si="9"/>
        <v>#N/A</v>
      </c>
      <c r="AR46" s="441" t="str">
        <f t="shared" si="4"/>
        <v/>
      </c>
      <c r="AT46" s="452" t="str">
        <f t="shared" si="5"/>
        <v/>
      </c>
      <c r="AU46" s="452" t="e">
        <f>AK46*$AW$38+$AW$39</f>
        <v>#REF!</v>
      </c>
      <c r="AV46" s="452" t="e">
        <f>AU46-$AW$40</f>
        <v>#REF!</v>
      </c>
      <c r="AW46" s="533" t="str">
        <f t="shared" si="6"/>
        <v/>
      </c>
    </row>
    <row r="47" spans="5:49" x14ac:dyDescent="0.25">
      <c r="E47" s="441"/>
      <c r="J47" s="447" t="e">
        <f>#REF!</f>
        <v>#REF!</v>
      </c>
      <c r="K47" s="446" t="e">
        <f>#REF!</f>
        <v>#REF!</v>
      </c>
      <c r="L47" s="445" t="e">
        <f>#REF!</f>
        <v>#REF!</v>
      </c>
      <c r="M47" s="445" t="e">
        <f>#REF!</f>
        <v>#REF!</v>
      </c>
      <c r="N47" s="440"/>
      <c r="AD47" s="441">
        <v>5</v>
      </c>
      <c r="AE47" s="436">
        <f t="shared" si="7"/>
        <v>0</v>
      </c>
      <c r="AF47" s="516" t="e">
        <f>AM52</f>
        <v>#REF!</v>
      </c>
      <c r="AG47" s="516" t="str">
        <f>AL52</f>
        <v>No. 30</v>
      </c>
      <c r="AH47" s="536">
        <f>AH70</f>
        <v>17.722812162406921</v>
      </c>
      <c r="AK47" s="441">
        <f t="shared" si="1"/>
        <v>70</v>
      </c>
      <c r="AL47" s="436" t="str">
        <f t="shared" si="2"/>
        <v>1/2 in.</v>
      </c>
      <c r="AM47" s="452" t="e">
        <f>IF(#REF!=1,NA(),#REF!)</f>
        <v>#REF!</v>
      </c>
      <c r="AN47" s="452" t="e">
        <f t="shared" si="3"/>
        <v>#N/A</v>
      </c>
      <c r="AO47" s="452" t="e">
        <f t="shared" si="8"/>
        <v>#N/A</v>
      </c>
      <c r="AP47" s="533" t="e">
        <f t="shared" si="9"/>
        <v>#N/A</v>
      </c>
      <c r="AR47" s="441" t="str">
        <f t="shared" si="4"/>
        <v/>
      </c>
      <c r="AT47" s="452" t="str">
        <f t="shared" si="5"/>
        <v/>
      </c>
      <c r="AU47" s="452" t="e">
        <f t="shared" ref="AU47:AU56" si="10">AR47*$AW$38+$AW$39</f>
        <v>#VALUE!</v>
      </c>
      <c r="AV47" s="452" t="str">
        <f t="shared" ref="AV47:AV56" si="11">IF(ISNUMBER(AU47),AU47-$AW$40,"")</f>
        <v/>
      </c>
      <c r="AW47" s="533" t="str">
        <f t="shared" si="6"/>
        <v/>
      </c>
    </row>
    <row r="48" spans="5:49" x14ac:dyDescent="0.25">
      <c r="E48" s="441"/>
      <c r="J48" s="447" t="e">
        <f>#REF!</f>
        <v>#REF!</v>
      </c>
      <c r="K48" s="446" t="e">
        <f>#REF!</f>
        <v>#REF!</v>
      </c>
      <c r="L48" s="445" t="e">
        <f>#REF!</f>
        <v>#REF!</v>
      </c>
      <c r="M48" s="445" t="e">
        <f>#REF!</f>
        <v>#REF!</v>
      </c>
      <c r="N48" s="440"/>
      <c r="AD48" s="441">
        <v>6</v>
      </c>
      <c r="AE48" s="436">
        <f t="shared" si="7"/>
        <v>0</v>
      </c>
      <c r="AF48" s="516" t="e">
        <f>AM51</f>
        <v>#REF!</v>
      </c>
      <c r="AG48" s="516" t="str">
        <f>AL51</f>
        <v>No. 16</v>
      </c>
      <c r="AH48" s="536">
        <f>AH69</f>
        <v>24.210074876744265</v>
      </c>
      <c r="AK48" s="441">
        <f t="shared" si="1"/>
        <v>62</v>
      </c>
      <c r="AL48" s="436" t="str">
        <f t="shared" si="2"/>
        <v>3/8 in.</v>
      </c>
      <c r="AM48" s="452" t="e">
        <f>IF(#REF!=1,NA(),#REF!)</f>
        <v>#REF!</v>
      </c>
      <c r="AN48" s="452" t="e">
        <f t="shared" si="3"/>
        <v>#N/A</v>
      </c>
      <c r="AO48" s="452" t="e">
        <f t="shared" si="8"/>
        <v>#N/A</v>
      </c>
      <c r="AP48" s="533" t="e">
        <f t="shared" si="9"/>
        <v>#N/A</v>
      </c>
      <c r="AR48" s="441" t="str">
        <f t="shared" si="4"/>
        <v/>
      </c>
      <c r="AT48" s="452" t="str">
        <f t="shared" si="5"/>
        <v/>
      </c>
      <c r="AU48" s="452" t="e">
        <f t="shared" si="10"/>
        <v>#VALUE!</v>
      </c>
      <c r="AV48" s="452" t="str">
        <f t="shared" si="11"/>
        <v/>
      </c>
      <c r="AW48" s="533" t="str">
        <f t="shared" si="6"/>
        <v/>
      </c>
    </row>
    <row r="49" spans="5:49" x14ac:dyDescent="0.25">
      <c r="E49" s="441"/>
      <c r="J49" s="447" t="e">
        <f>#REF!</f>
        <v>#REF!</v>
      </c>
      <c r="K49" s="446" t="e">
        <f>#REF!</f>
        <v>#REF!</v>
      </c>
      <c r="L49" s="445" t="e">
        <f>#REF!</f>
        <v>#REF!</v>
      </c>
      <c r="M49" s="445" t="e">
        <f>#REF!</f>
        <v>#REF!</v>
      </c>
      <c r="N49" s="440"/>
      <c r="AD49" s="441">
        <v>7</v>
      </c>
      <c r="AE49" s="436">
        <f t="shared" si="7"/>
        <v>0</v>
      </c>
      <c r="AF49" s="516" t="e">
        <f>AM50</f>
        <v>#REF!</v>
      </c>
      <c r="AG49" s="516" t="str">
        <f>AL50</f>
        <v>No. 8</v>
      </c>
      <c r="AH49" s="536">
        <f>AH68</f>
        <v>33.071936900670877</v>
      </c>
      <c r="AK49" s="441">
        <f t="shared" si="1"/>
        <v>45</v>
      </c>
      <c r="AL49" s="436" t="str">
        <f t="shared" si="2"/>
        <v>No. 4</v>
      </c>
      <c r="AM49" s="452" t="e">
        <f>IF(#REF!=1,NA(),#REF!)</f>
        <v>#REF!</v>
      </c>
      <c r="AN49" s="452" t="e">
        <f t="shared" si="3"/>
        <v>#N/A</v>
      </c>
      <c r="AO49" s="452" t="e">
        <f t="shared" si="8"/>
        <v>#N/A</v>
      </c>
      <c r="AP49" s="533" t="e">
        <f t="shared" si="9"/>
        <v>#N/A</v>
      </c>
      <c r="AR49" s="441" t="str">
        <f t="shared" si="4"/>
        <v/>
      </c>
      <c r="AT49" s="452" t="str">
        <f t="shared" si="5"/>
        <v/>
      </c>
      <c r="AU49" s="452" t="e">
        <f t="shared" si="10"/>
        <v>#VALUE!</v>
      </c>
      <c r="AV49" s="452" t="str">
        <f t="shared" si="11"/>
        <v/>
      </c>
      <c r="AW49" s="533" t="str">
        <f t="shared" si="6"/>
        <v/>
      </c>
    </row>
    <row r="50" spans="5:49" x14ac:dyDescent="0.25">
      <c r="E50" s="441"/>
      <c r="J50" s="447" t="e">
        <f>#REF!</f>
        <v>#REF!</v>
      </c>
      <c r="K50" s="446" t="e">
        <f>#REF!</f>
        <v>#REF!</v>
      </c>
      <c r="L50" s="445" t="e">
        <f>#REF!</f>
        <v>#REF!</v>
      </c>
      <c r="M50" s="445" t="e">
        <f>#REF!</f>
        <v>#REF!</v>
      </c>
      <c r="N50" s="440"/>
      <c r="AD50" s="441">
        <v>8</v>
      </c>
      <c r="AE50" s="436">
        <f t="shared" si="7"/>
        <v>0</v>
      </c>
      <c r="AF50" s="516" t="e">
        <f>AM49</f>
        <v>#REF!</v>
      </c>
      <c r="AG50" s="516" t="str">
        <f>AL49</f>
        <v>No. 4</v>
      </c>
      <c r="AH50" s="536">
        <f>AH67</f>
        <v>45.177597175157636</v>
      </c>
      <c r="AK50" s="441">
        <f t="shared" si="1"/>
        <v>33</v>
      </c>
      <c r="AL50" s="436" t="str">
        <f t="shared" si="2"/>
        <v>No. 8</v>
      </c>
      <c r="AM50" s="452" t="e">
        <f>IF(#REF!=1,NA(),#REF!)</f>
        <v>#REF!</v>
      </c>
      <c r="AN50" s="452" t="e">
        <f t="shared" si="3"/>
        <v>#N/A</v>
      </c>
      <c r="AO50" s="452" t="e">
        <f t="shared" si="8"/>
        <v>#N/A</v>
      </c>
      <c r="AP50" s="533" t="e">
        <f t="shared" si="9"/>
        <v>#N/A</v>
      </c>
      <c r="AR50" s="441" t="str">
        <f t="shared" si="4"/>
        <v/>
      </c>
      <c r="AT50" s="452" t="str">
        <f t="shared" si="5"/>
        <v/>
      </c>
      <c r="AU50" s="452" t="e">
        <f t="shared" si="10"/>
        <v>#VALUE!</v>
      </c>
      <c r="AV50" s="452" t="str">
        <f t="shared" si="11"/>
        <v/>
      </c>
      <c r="AW50" s="533" t="str">
        <f t="shared" si="6"/>
        <v/>
      </c>
    </row>
    <row r="51" spans="5:49" x14ac:dyDescent="0.25">
      <c r="E51" s="441"/>
      <c r="F51" s="436" t="e">
        <f>#REF!</f>
        <v>#REF!</v>
      </c>
      <c r="J51" s="444" t="e">
        <f>#REF!</f>
        <v>#REF!</v>
      </c>
      <c r="K51" s="443" t="e">
        <f>#REF!</f>
        <v>#REF!</v>
      </c>
      <c r="L51" s="442" t="e">
        <f>#REF!</f>
        <v>#REF!</v>
      </c>
      <c r="M51" s="442" t="e">
        <f>#REF!</f>
        <v>#REF!</v>
      </c>
      <c r="N51" s="440"/>
      <c r="AD51" s="441">
        <v>9</v>
      </c>
      <c r="AE51" s="436">
        <f t="shared" si="7"/>
        <v>0</v>
      </c>
      <c r="AF51" s="516" t="e">
        <f>AM48</f>
        <v>#REF!</v>
      </c>
      <c r="AG51" s="516" t="str">
        <f>AL48</f>
        <v>3/8 in.</v>
      </c>
      <c r="AH51" s="536">
        <f>AH66</f>
        <v>61.685236282952467</v>
      </c>
      <c r="AK51" s="441">
        <f t="shared" si="1"/>
        <v>24</v>
      </c>
      <c r="AL51" s="436" t="str">
        <f t="shared" si="2"/>
        <v>No. 16</v>
      </c>
      <c r="AM51" s="452" t="e">
        <f>IF(#REF!=1,NA(),#REF!)</f>
        <v>#REF!</v>
      </c>
      <c r="AN51" s="452" t="e">
        <f t="shared" si="3"/>
        <v>#N/A</v>
      </c>
      <c r="AO51" s="452" t="e">
        <f t="shared" si="8"/>
        <v>#N/A</v>
      </c>
      <c r="AP51" s="533" t="e">
        <f t="shared" si="9"/>
        <v>#N/A</v>
      </c>
      <c r="AR51" s="441" t="str">
        <f t="shared" si="4"/>
        <v/>
      </c>
      <c r="AT51" s="452" t="str">
        <f t="shared" si="5"/>
        <v/>
      </c>
      <c r="AU51" s="452" t="e">
        <f t="shared" si="10"/>
        <v>#VALUE!</v>
      </c>
      <c r="AV51" s="452" t="str">
        <f t="shared" si="11"/>
        <v/>
      </c>
      <c r="AW51" s="533" t="str">
        <f t="shared" si="6"/>
        <v/>
      </c>
    </row>
    <row r="52" spans="5:49" x14ac:dyDescent="0.25">
      <c r="E52" s="439"/>
      <c r="F52" s="438"/>
      <c r="G52" s="438"/>
      <c r="H52" s="438"/>
      <c r="I52" s="438"/>
      <c r="J52" s="438"/>
      <c r="K52" s="438"/>
      <c r="L52" s="438"/>
      <c r="M52" s="438"/>
      <c r="N52" s="437"/>
      <c r="AD52" s="441">
        <v>10</v>
      </c>
      <c r="AE52" s="436">
        <f t="shared" si="7"/>
        <v>0</v>
      </c>
      <c r="AF52" s="516" t="e">
        <f>AM47</f>
        <v>#REF!</v>
      </c>
      <c r="AG52" s="516" t="str">
        <f>AL47</f>
        <v>1/2 in.</v>
      </c>
      <c r="AH52" s="536">
        <f>AH65</f>
        <v>70.260570918450924</v>
      </c>
      <c r="AK52" s="441">
        <f t="shared" si="1"/>
        <v>18</v>
      </c>
      <c r="AL52" s="436" t="str">
        <f t="shared" si="2"/>
        <v>No. 30</v>
      </c>
      <c r="AM52" s="452" t="e">
        <f>IF(#REF!=1,NA(),#REF!)</f>
        <v>#REF!</v>
      </c>
      <c r="AN52" s="452" t="e">
        <f t="shared" si="3"/>
        <v>#N/A</v>
      </c>
      <c r="AO52" s="452" t="e">
        <f t="shared" si="8"/>
        <v>#N/A</v>
      </c>
      <c r="AP52" s="533" t="e">
        <f t="shared" si="9"/>
        <v>#N/A</v>
      </c>
      <c r="AR52" s="441" t="str">
        <f t="shared" si="4"/>
        <v/>
      </c>
      <c r="AT52" s="452" t="str">
        <f t="shared" si="5"/>
        <v/>
      </c>
      <c r="AU52" s="452" t="e">
        <f t="shared" si="10"/>
        <v>#VALUE!</v>
      </c>
      <c r="AV52" s="452" t="str">
        <f t="shared" si="11"/>
        <v/>
      </c>
      <c r="AW52" s="533" t="str">
        <f t="shared" si="6"/>
        <v/>
      </c>
    </row>
    <row r="53" spans="5:49" x14ac:dyDescent="0.25">
      <c r="AD53" s="441">
        <v>11</v>
      </c>
      <c r="AE53" s="436">
        <f t="shared" si="7"/>
        <v>0</v>
      </c>
      <c r="AF53" s="516" t="e">
        <f>AM46</f>
        <v>#REF!</v>
      </c>
      <c r="AG53" s="516" t="str">
        <f>AL46</f>
        <v>3/4 in.</v>
      </c>
      <c r="AH53" s="536">
        <f>AH64</f>
        <v>84.224631674288489</v>
      </c>
      <c r="AK53" s="441">
        <f t="shared" si="1"/>
        <v>13</v>
      </c>
      <c r="AL53" s="436" t="str">
        <f t="shared" si="2"/>
        <v>No. 50</v>
      </c>
      <c r="AM53" s="452" t="e">
        <f>IF(#REF!=1,NA(),#REF!)</f>
        <v>#REF!</v>
      </c>
      <c r="AN53" s="452" t="e">
        <f t="shared" si="3"/>
        <v>#N/A</v>
      </c>
      <c r="AO53" s="452" t="e">
        <f t="shared" si="8"/>
        <v>#N/A</v>
      </c>
      <c r="AP53" s="533" t="e">
        <f t="shared" si="9"/>
        <v>#N/A</v>
      </c>
      <c r="AR53" s="441" t="str">
        <f t="shared" si="4"/>
        <v/>
      </c>
      <c r="AT53" s="452" t="str">
        <f t="shared" si="5"/>
        <v/>
      </c>
      <c r="AU53" s="452" t="e">
        <f t="shared" si="10"/>
        <v>#VALUE!</v>
      </c>
      <c r="AV53" s="452" t="str">
        <f t="shared" si="11"/>
        <v/>
      </c>
      <c r="AW53" s="533" t="str">
        <f t="shared" si="6"/>
        <v/>
      </c>
    </row>
    <row r="54" spans="5:49" x14ac:dyDescent="0.25">
      <c r="AD54" s="441">
        <v>12</v>
      </c>
      <c r="AE54" s="436">
        <f t="shared" si="7"/>
        <v>0</v>
      </c>
      <c r="AF54" s="516" t="e">
        <f>AM45</f>
        <v>#REF!</v>
      </c>
      <c r="AG54" s="516" t="str">
        <f>AL45</f>
        <v>1 in.</v>
      </c>
      <c r="AH54" s="536">
        <f>AH63</f>
        <v>95.978768337151067</v>
      </c>
      <c r="AK54" s="441">
        <f t="shared" si="1"/>
        <v>10</v>
      </c>
      <c r="AL54" s="436" t="str">
        <f t="shared" si="2"/>
        <v>No. 100</v>
      </c>
      <c r="AM54" s="452" t="e">
        <f>IF(#REF!=1,NA(),#REF!)</f>
        <v>#REF!</v>
      </c>
      <c r="AN54" s="452" t="e">
        <f t="shared" si="3"/>
        <v>#N/A</v>
      </c>
      <c r="AO54" s="452" t="e">
        <f t="shared" si="8"/>
        <v>#N/A</v>
      </c>
      <c r="AP54" s="533" t="e">
        <f t="shared" si="9"/>
        <v>#N/A</v>
      </c>
      <c r="AR54" s="441" t="str">
        <f t="shared" si="4"/>
        <v/>
      </c>
      <c r="AT54" s="452" t="str">
        <f t="shared" si="5"/>
        <v/>
      </c>
      <c r="AU54" s="452" t="e">
        <f t="shared" si="10"/>
        <v>#VALUE!</v>
      </c>
      <c r="AV54" s="452" t="str">
        <f t="shared" si="11"/>
        <v/>
      </c>
      <c r="AW54" s="533" t="str">
        <f t="shared" si="6"/>
        <v/>
      </c>
    </row>
    <row r="55" spans="5:49" x14ac:dyDescent="0.25">
      <c r="AD55" s="441">
        <v>13</v>
      </c>
      <c r="AE55" s="436">
        <f t="shared" si="7"/>
        <v>0</v>
      </c>
      <c r="AF55" s="516" t="e">
        <f>AM44</f>
        <v>#REF!</v>
      </c>
      <c r="AG55" s="516" t="str">
        <f>AL44</f>
        <v>1 1/2 in.</v>
      </c>
      <c r="AH55" s="536">
        <f>AH62</f>
        <v>115.19038744950137</v>
      </c>
      <c r="AK55" s="441">
        <f t="shared" si="1"/>
        <v>7</v>
      </c>
      <c r="AL55" s="436" t="str">
        <f t="shared" si="2"/>
        <v>No. 200</v>
      </c>
      <c r="AM55" s="452" t="e">
        <f>IF(#REF!=1,NA(),#REF!)</f>
        <v>#REF!</v>
      </c>
      <c r="AN55" s="452" t="e">
        <f t="shared" si="3"/>
        <v>#N/A</v>
      </c>
      <c r="AO55" s="452" t="e">
        <f t="shared" si="8"/>
        <v>#N/A</v>
      </c>
      <c r="AP55" s="533" t="e">
        <f t="shared" si="9"/>
        <v>#N/A</v>
      </c>
      <c r="AR55" s="441" t="str">
        <f t="shared" si="4"/>
        <v/>
      </c>
      <c r="AT55" s="452" t="str">
        <f t="shared" si="5"/>
        <v/>
      </c>
      <c r="AU55" s="452" t="e">
        <f t="shared" si="10"/>
        <v>#VALUE!</v>
      </c>
      <c r="AV55" s="452" t="str">
        <f t="shared" si="11"/>
        <v/>
      </c>
      <c r="AW55" s="533" t="str">
        <f t="shared" si="6"/>
        <v/>
      </c>
    </row>
    <row r="56" spans="5:49" x14ac:dyDescent="0.25">
      <c r="AD56" s="439">
        <v>14</v>
      </c>
      <c r="AE56" s="438">
        <f t="shared" si="7"/>
        <v>0</v>
      </c>
      <c r="AF56" s="519" t="e">
        <f>AM43</f>
        <v>#REF!</v>
      </c>
      <c r="AG56" s="519" t="str">
        <f>AL43</f>
        <v>2 in.</v>
      </c>
      <c r="AH56" s="535">
        <f>AH61</f>
        <v>131.11086134225255</v>
      </c>
      <c r="AK56" s="439">
        <f t="shared" si="1"/>
        <v>0</v>
      </c>
      <c r="AL56" s="438" t="str">
        <f t="shared" si="2"/>
        <v>Pan</v>
      </c>
      <c r="AM56" s="534" t="e">
        <f>#REF!</f>
        <v>#REF!</v>
      </c>
      <c r="AN56" s="534">
        <v>0</v>
      </c>
      <c r="AO56" s="512">
        <f t="shared" si="8"/>
        <v>-7.0000000000000007E-2</v>
      </c>
      <c r="AP56" s="511">
        <f t="shared" si="9"/>
        <v>7.0000000000000007E-2</v>
      </c>
      <c r="AR56" s="441">
        <f t="shared" si="4"/>
        <v>0</v>
      </c>
      <c r="AT56" s="452" t="e">
        <f t="shared" si="5"/>
        <v>#REF!</v>
      </c>
      <c r="AU56" s="452" t="e">
        <f t="shared" si="10"/>
        <v>#REF!</v>
      </c>
      <c r="AV56" s="452" t="str">
        <f t="shared" si="11"/>
        <v/>
      </c>
      <c r="AW56" s="533" t="str">
        <f t="shared" si="6"/>
        <v/>
      </c>
    </row>
    <row r="57" spans="5:49" x14ac:dyDescent="0.25">
      <c r="AR57" s="441"/>
      <c r="AW57" s="440"/>
    </row>
    <row r="58" spans="5:49" x14ac:dyDescent="0.25">
      <c r="I58" s="451" t="s">
        <v>170</v>
      </c>
      <c r="J58" s="528" t="e">
        <f>I67/I68</f>
        <v>#REF!</v>
      </c>
      <c r="AD58" s="501" t="s">
        <v>169</v>
      </c>
      <c r="AE58" s="465"/>
      <c r="AF58" s="465"/>
      <c r="AG58" s="465"/>
      <c r="AH58" s="465"/>
      <c r="AI58" s="500"/>
      <c r="AR58" s="441"/>
      <c r="AW58" s="440"/>
    </row>
    <row r="59" spans="5:49" x14ac:dyDescent="0.25">
      <c r="AD59" s="480" t="s">
        <v>168</v>
      </c>
      <c r="AE59" s="463" t="s">
        <v>167</v>
      </c>
      <c r="AF59" s="463" t="s">
        <v>166</v>
      </c>
      <c r="AG59" s="463" t="s">
        <v>165</v>
      </c>
      <c r="AH59" s="532" t="s">
        <v>164</v>
      </c>
      <c r="AI59" s="531" t="s">
        <v>163</v>
      </c>
      <c r="AL59" s="436">
        <v>2</v>
      </c>
      <c r="AM59" s="436">
        <v>3</v>
      </c>
      <c r="AN59" s="436">
        <v>4</v>
      </c>
      <c r="AO59" s="436">
        <v>5</v>
      </c>
      <c r="AP59" s="436">
        <v>6</v>
      </c>
      <c r="AR59" s="441"/>
      <c r="AU59" s="436">
        <v>11</v>
      </c>
      <c r="AV59" s="436">
        <v>12</v>
      </c>
      <c r="AW59" s="440">
        <v>13</v>
      </c>
    </row>
    <row r="60" spans="5:49" x14ac:dyDescent="0.25">
      <c r="H60" s="436" t="s">
        <v>162</v>
      </c>
      <c r="AD60" s="436" t="s">
        <v>161</v>
      </c>
      <c r="AE60" s="436" t="s">
        <v>160</v>
      </c>
      <c r="AG60" s="436" t="s">
        <v>159</v>
      </c>
      <c r="AK60" s="480">
        <v>0</v>
      </c>
      <c r="AL60" s="463" t="str">
        <f t="shared" ref="AL60:AL91" si="12">IF(ISNA(VLOOKUP($AK60,$AK$43:$AP$56,AL$59,FALSE)),"",VLOOKUP($AK60,$AK$43:$AP$56,AL$59,FALSE))</f>
        <v>Pan</v>
      </c>
      <c r="AM60" s="530" t="e">
        <f t="shared" ref="AM60:AP79" si="13">IF(ISBLANK(VLOOKUP($AK60,$AK$43:$AP$56,AM$59,FALSE)),NA(),VLOOKUP($AK60,$AK$43:$AP$56,AM$59,FALSE))</f>
        <v>#REF!</v>
      </c>
      <c r="AN60" s="530">
        <f t="shared" si="13"/>
        <v>0</v>
      </c>
      <c r="AO60" s="530">
        <f t="shared" si="13"/>
        <v>-7.0000000000000007E-2</v>
      </c>
      <c r="AP60" s="529">
        <f t="shared" si="13"/>
        <v>7.0000000000000007E-2</v>
      </c>
      <c r="AQ60" s="436" t="e">
        <f>NA()</f>
        <v>#N/A</v>
      </c>
      <c r="AR60" s="441"/>
      <c r="AU60" s="530" t="e">
        <f>IF(ISBLANK(VLOOKUP($AK60,$AK$43:$AW$56,AU$59,FALSE)),NA(),VLOOKUP($AK60,$AK$43:$AW$56,AU$59,FALSE))</f>
        <v>#REF!</v>
      </c>
      <c r="AV60" s="530" t="str">
        <f>IF(ISBLANK(VLOOKUP($AK60,$AK$43:$AW$56,AV$59,FALSE)),NA(),VLOOKUP($AK60,$AK$43:$AW$56,AV$59,FALSE))</f>
        <v/>
      </c>
      <c r="AW60" s="529" t="str">
        <f>IF(ISBLANK(VLOOKUP($AK60,$AK$43:$AW$56,AW$59,FALSE)),NA(),VLOOKUP($AK60,$AK$43:$AW$56,AW$59,FALSE))</f>
        <v/>
      </c>
    </row>
    <row r="61" spans="5:49" x14ac:dyDescent="0.25">
      <c r="I61" s="451" t="s">
        <v>158</v>
      </c>
      <c r="J61" s="528" t="e">
        <f>I69+2.5*(I70-564)/94/100</f>
        <v>#REF!</v>
      </c>
      <c r="AD61" s="480" t="s">
        <v>78</v>
      </c>
      <c r="AE61" s="463">
        <v>2</v>
      </c>
      <c r="AF61" s="463">
        <v>50.8</v>
      </c>
      <c r="AG61" s="463">
        <v>50800</v>
      </c>
      <c r="AH61" s="527">
        <f t="shared" ref="AH61:AH74" si="14">AG61^0.45</f>
        <v>131.11086134225255</v>
      </c>
      <c r="AI61" s="462">
        <f t="shared" ref="AI61:AI74" si="15">LOG(AH61)</f>
        <v>2.1176386705277639</v>
      </c>
      <c r="AK61" s="441">
        <v>1</v>
      </c>
      <c r="AL61" s="436" t="str">
        <f t="shared" si="12"/>
        <v/>
      </c>
      <c r="AM61" s="514" t="e">
        <f t="shared" si="13"/>
        <v>#N/A</v>
      </c>
      <c r="AN61" s="514" t="e">
        <f t="shared" si="13"/>
        <v>#N/A</v>
      </c>
      <c r="AO61" s="514" t="e">
        <f t="shared" si="13"/>
        <v>#N/A</v>
      </c>
      <c r="AP61" s="513" t="e">
        <f t="shared" si="13"/>
        <v>#N/A</v>
      </c>
      <c r="AQ61" s="436" t="e">
        <f>NA()</f>
        <v>#N/A</v>
      </c>
      <c r="AR61" s="441"/>
      <c r="AU61" s="514" t="e">
        <f t="shared" ref="AU61:AU92" si="16">IF(ISBLANK(VLOOKUP($AK61,$AK$43:$AU$56,AU$59,FALSE)),NA(),VLOOKUP($AK61,$AK$43:$AU$56,AU$59,FALSE))</f>
        <v>#N/A</v>
      </c>
      <c r="AV61" s="514" t="e">
        <f t="shared" ref="AV61:AW80" si="17">IF(ISBLANK(VLOOKUP($AK61,$AK$43:$AW$56,AV$59,FALSE)),NA(),VLOOKUP($AK61,$AK$43:$AW$56,AV$59,FALSE))</f>
        <v>#N/A</v>
      </c>
      <c r="AW61" s="513" t="e">
        <f t="shared" si="17"/>
        <v>#N/A</v>
      </c>
    </row>
    <row r="62" spans="5:49" x14ac:dyDescent="0.25">
      <c r="T62" s="480" t="s">
        <v>157</v>
      </c>
      <c r="U62" s="462"/>
      <c r="AD62" s="441" t="s">
        <v>77</v>
      </c>
      <c r="AE62" s="436">
        <v>1.5</v>
      </c>
      <c r="AF62" s="436">
        <v>38.099999999999994</v>
      </c>
      <c r="AG62" s="436">
        <v>38100</v>
      </c>
      <c r="AH62" s="525">
        <f t="shared" si="14"/>
        <v>115.19038744950137</v>
      </c>
      <c r="AI62" s="440">
        <f t="shared" si="15"/>
        <v>2.0614162390540285</v>
      </c>
      <c r="AK62" s="441">
        <v>2</v>
      </c>
      <c r="AL62" s="436" t="str">
        <f t="shared" si="12"/>
        <v/>
      </c>
      <c r="AM62" s="514" t="e">
        <f t="shared" si="13"/>
        <v>#N/A</v>
      </c>
      <c r="AN62" s="514" t="e">
        <f t="shared" si="13"/>
        <v>#N/A</v>
      </c>
      <c r="AO62" s="514" t="e">
        <f t="shared" si="13"/>
        <v>#N/A</v>
      </c>
      <c r="AP62" s="513" t="e">
        <f t="shared" si="13"/>
        <v>#N/A</v>
      </c>
      <c r="AQ62" s="436" t="e">
        <f>NA()</f>
        <v>#N/A</v>
      </c>
      <c r="AR62" s="441"/>
      <c r="AU62" s="514" t="e">
        <f t="shared" si="16"/>
        <v>#N/A</v>
      </c>
      <c r="AV62" s="514" t="e">
        <f t="shared" si="17"/>
        <v>#N/A</v>
      </c>
      <c r="AW62" s="513" t="e">
        <f t="shared" si="17"/>
        <v>#N/A</v>
      </c>
    </row>
    <row r="63" spans="5:49" x14ac:dyDescent="0.25">
      <c r="H63" s="436" t="s">
        <v>156</v>
      </c>
      <c r="T63" s="441" t="s">
        <v>112</v>
      </c>
      <c r="U63" s="440" t="s">
        <v>111</v>
      </c>
      <c r="AD63" s="441" t="s">
        <v>76</v>
      </c>
      <c r="AE63" s="436">
        <v>1</v>
      </c>
      <c r="AF63" s="436">
        <v>25.4</v>
      </c>
      <c r="AG63" s="436">
        <v>25400</v>
      </c>
      <c r="AH63" s="525">
        <f t="shared" si="14"/>
        <v>95.978768337151067</v>
      </c>
      <c r="AI63" s="440">
        <f t="shared" si="15"/>
        <v>1.9821751724789722</v>
      </c>
      <c r="AK63" s="441">
        <v>3</v>
      </c>
      <c r="AL63" s="436" t="str">
        <f t="shared" si="12"/>
        <v/>
      </c>
      <c r="AM63" s="514" t="e">
        <f t="shared" si="13"/>
        <v>#N/A</v>
      </c>
      <c r="AN63" s="514" t="e">
        <f t="shared" si="13"/>
        <v>#N/A</v>
      </c>
      <c r="AO63" s="514" t="e">
        <f t="shared" si="13"/>
        <v>#N/A</v>
      </c>
      <c r="AP63" s="513" t="e">
        <f t="shared" si="13"/>
        <v>#N/A</v>
      </c>
      <c r="AQ63" s="436" t="e">
        <f>NA()</f>
        <v>#N/A</v>
      </c>
      <c r="AR63" s="441"/>
      <c r="AU63" s="514" t="e">
        <f t="shared" si="16"/>
        <v>#N/A</v>
      </c>
      <c r="AV63" s="514" t="e">
        <f t="shared" si="17"/>
        <v>#N/A</v>
      </c>
      <c r="AW63" s="513" t="e">
        <f t="shared" si="17"/>
        <v>#N/A</v>
      </c>
    </row>
    <row r="64" spans="5:49" x14ac:dyDescent="0.25">
      <c r="T64" s="441" t="s">
        <v>144</v>
      </c>
      <c r="U64" s="440"/>
      <c r="W64" s="480" t="s">
        <v>82</v>
      </c>
      <c r="X64" s="463" t="s">
        <v>92</v>
      </c>
      <c r="Y64" s="463" t="s">
        <v>155</v>
      </c>
      <c r="Z64" s="462" t="s">
        <v>154</v>
      </c>
      <c r="AD64" s="441" t="s">
        <v>75</v>
      </c>
      <c r="AE64" s="436">
        <v>0.75</v>
      </c>
      <c r="AF64" s="436">
        <v>19</v>
      </c>
      <c r="AG64" s="436">
        <v>19000</v>
      </c>
      <c r="AH64" s="525">
        <f t="shared" si="14"/>
        <v>84.224631674288489</v>
      </c>
      <c r="AI64" s="440">
        <f t="shared" si="15"/>
        <v>1.9254391204287729</v>
      </c>
      <c r="AK64" s="441">
        <v>4</v>
      </c>
      <c r="AL64" s="436" t="str">
        <f t="shared" si="12"/>
        <v/>
      </c>
      <c r="AM64" s="514" t="e">
        <f t="shared" si="13"/>
        <v>#N/A</v>
      </c>
      <c r="AN64" s="514" t="e">
        <f t="shared" si="13"/>
        <v>#N/A</v>
      </c>
      <c r="AO64" s="514" t="e">
        <f t="shared" si="13"/>
        <v>#N/A</v>
      </c>
      <c r="AP64" s="513" t="e">
        <f t="shared" si="13"/>
        <v>#N/A</v>
      </c>
      <c r="AQ64" s="436" t="e">
        <f>NA()</f>
        <v>#N/A</v>
      </c>
      <c r="AR64" s="441"/>
      <c r="AU64" s="514" t="e">
        <f t="shared" si="16"/>
        <v>#N/A</v>
      </c>
      <c r="AV64" s="514" t="e">
        <f t="shared" si="17"/>
        <v>#N/A</v>
      </c>
      <c r="AW64" s="513" t="e">
        <f t="shared" si="17"/>
        <v>#N/A</v>
      </c>
    </row>
    <row r="65" spans="6:49" x14ac:dyDescent="0.25">
      <c r="I65" s="436" t="e">
        <f>"CF = "&amp;TEXT(J58,"##.#%")&amp;",   WF = "&amp;TEXT(J61,"##.#%")</f>
        <v>#REF!</v>
      </c>
      <c r="L65" s="457"/>
      <c r="T65" s="518">
        <f>T69</f>
        <v>0.52</v>
      </c>
      <c r="U65" s="517">
        <f>U69</f>
        <v>0.34</v>
      </c>
      <c r="W65" s="441" t="s">
        <v>78</v>
      </c>
      <c r="X65" s="516" t="e">
        <f t="shared" ref="X65:Z72" si="18">IF(X80=0,NA(),X79)</f>
        <v>#REF!</v>
      </c>
      <c r="Y65" s="516" t="e">
        <f t="shared" si="18"/>
        <v>#N/A</v>
      </c>
      <c r="Z65" s="523" t="e">
        <f t="shared" si="18"/>
        <v>#REF!</v>
      </c>
      <c r="AD65" s="441" t="s">
        <v>74</v>
      </c>
      <c r="AE65" s="436">
        <v>0.5</v>
      </c>
      <c r="AF65" s="436">
        <v>12.7</v>
      </c>
      <c r="AG65" s="436">
        <v>12700</v>
      </c>
      <c r="AH65" s="525">
        <f t="shared" si="14"/>
        <v>70.260570918450924</v>
      </c>
      <c r="AI65" s="440">
        <f t="shared" si="15"/>
        <v>1.846711674430181</v>
      </c>
      <c r="AK65" s="441">
        <v>5</v>
      </c>
      <c r="AL65" s="436" t="str">
        <f t="shared" si="12"/>
        <v/>
      </c>
      <c r="AM65" s="514" t="e">
        <f t="shared" si="13"/>
        <v>#N/A</v>
      </c>
      <c r="AN65" s="514" t="e">
        <f t="shared" si="13"/>
        <v>#N/A</v>
      </c>
      <c r="AO65" s="514" t="e">
        <f t="shared" si="13"/>
        <v>#N/A</v>
      </c>
      <c r="AP65" s="513" t="e">
        <f t="shared" si="13"/>
        <v>#N/A</v>
      </c>
      <c r="AQ65" s="436" t="e">
        <f>NA()</f>
        <v>#N/A</v>
      </c>
      <c r="AR65" s="441"/>
      <c r="AU65" s="514" t="e">
        <f t="shared" si="16"/>
        <v>#N/A</v>
      </c>
      <c r="AV65" s="514" t="e">
        <f t="shared" si="17"/>
        <v>#N/A</v>
      </c>
      <c r="AW65" s="513" t="e">
        <f t="shared" si="17"/>
        <v>#N/A</v>
      </c>
    </row>
    <row r="66" spans="6:49" x14ac:dyDescent="0.25">
      <c r="T66" s="518">
        <f>G123</f>
        <v>0.52</v>
      </c>
      <c r="U66" s="515">
        <f>H123</f>
        <v>0.38</v>
      </c>
      <c r="W66" s="441" t="s">
        <v>77</v>
      </c>
      <c r="X66" s="516" t="e">
        <f t="shared" si="18"/>
        <v>#REF!</v>
      </c>
      <c r="Y66" s="516" t="e">
        <f t="shared" si="18"/>
        <v>#N/A</v>
      </c>
      <c r="Z66" s="523" t="e">
        <f t="shared" si="18"/>
        <v>#REF!</v>
      </c>
      <c r="AD66" s="441" t="s">
        <v>73</v>
      </c>
      <c r="AE66" s="436">
        <v>0.375</v>
      </c>
      <c r="AF66" s="436">
        <v>9.51</v>
      </c>
      <c r="AG66" s="436">
        <v>9510</v>
      </c>
      <c r="AH66" s="525">
        <f t="shared" si="14"/>
        <v>61.685236282952467</v>
      </c>
      <c r="AI66" s="440">
        <f t="shared" si="15"/>
        <v>1.7901812326218365</v>
      </c>
      <c r="AK66" s="441">
        <v>6</v>
      </c>
      <c r="AL66" s="436" t="str">
        <f t="shared" si="12"/>
        <v/>
      </c>
      <c r="AM66" s="514" t="e">
        <f t="shared" si="13"/>
        <v>#N/A</v>
      </c>
      <c r="AN66" s="514" t="e">
        <f t="shared" si="13"/>
        <v>#N/A</v>
      </c>
      <c r="AO66" s="514" t="e">
        <f t="shared" si="13"/>
        <v>#N/A</v>
      </c>
      <c r="AP66" s="513" t="e">
        <f t="shared" si="13"/>
        <v>#N/A</v>
      </c>
      <c r="AQ66" s="436" t="e">
        <f>NA()</f>
        <v>#N/A</v>
      </c>
      <c r="AR66" s="441"/>
      <c r="AU66" s="514" t="e">
        <f t="shared" si="16"/>
        <v>#N/A</v>
      </c>
      <c r="AV66" s="514" t="e">
        <f t="shared" si="17"/>
        <v>#N/A</v>
      </c>
      <c r="AW66" s="513" t="e">
        <f t="shared" si="17"/>
        <v>#N/A</v>
      </c>
    </row>
    <row r="67" spans="6:49" x14ac:dyDescent="0.25">
      <c r="H67" s="451" t="s">
        <v>153</v>
      </c>
      <c r="I67" s="516" t="e">
        <f>#REF!</f>
        <v>#REF!</v>
      </c>
      <c r="J67" s="436" t="s">
        <v>152</v>
      </c>
      <c r="T67" s="518">
        <f>G124</f>
        <v>0.68</v>
      </c>
      <c r="U67" s="515">
        <f>H124</f>
        <v>0.36</v>
      </c>
      <c r="W67" s="441" t="s">
        <v>76</v>
      </c>
      <c r="X67" s="516" t="e">
        <f t="shared" si="18"/>
        <v>#REF!</v>
      </c>
      <c r="Y67" s="516" t="e">
        <f t="shared" si="18"/>
        <v>#N/A</v>
      </c>
      <c r="Z67" s="523" t="e">
        <f t="shared" si="18"/>
        <v>#REF!</v>
      </c>
      <c r="AD67" s="441" t="s">
        <v>72</v>
      </c>
      <c r="AE67" s="436">
        <v>0.187</v>
      </c>
      <c r="AF67" s="436">
        <v>4.76</v>
      </c>
      <c r="AG67" s="436">
        <v>4760</v>
      </c>
      <c r="AH67" s="525">
        <f t="shared" si="14"/>
        <v>45.177597175157636</v>
      </c>
      <c r="AI67" s="440">
        <f t="shared" si="15"/>
        <v>1.6549231287242221</v>
      </c>
      <c r="AK67" s="441">
        <v>7</v>
      </c>
      <c r="AL67" s="436" t="str">
        <f t="shared" si="12"/>
        <v>No. 200</v>
      </c>
      <c r="AM67" s="514" t="e">
        <f t="shared" si="13"/>
        <v>#REF!</v>
      </c>
      <c r="AN67" s="514" t="e">
        <f t="shared" si="13"/>
        <v>#N/A</v>
      </c>
      <c r="AO67" s="514" t="e">
        <f t="shared" si="13"/>
        <v>#N/A</v>
      </c>
      <c r="AP67" s="513" t="e">
        <f t="shared" si="13"/>
        <v>#N/A</v>
      </c>
      <c r="AQ67" s="526">
        <v>1</v>
      </c>
      <c r="AR67" s="441"/>
      <c r="AU67" s="514" t="e">
        <f t="shared" si="16"/>
        <v>#VALUE!</v>
      </c>
      <c r="AV67" s="514" t="str">
        <f t="shared" si="17"/>
        <v/>
      </c>
      <c r="AW67" s="513" t="str">
        <f t="shared" si="17"/>
        <v/>
      </c>
    </row>
    <row r="68" spans="6:49" x14ac:dyDescent="0.25">
      <c r="H68" s="451" t="s">
        <v>151</v>
      </c>
      <c r="I68" s="516" t="e">
        <f>#REF!</f>
        <v>#REF!</v>
      </c>
      <c r="J68" s="436" t="s">
        <v>150</v>
      </c>
      <c r="T68" s="518">
        <f>G114</f>
        <v>0.68</v>
      </c>
      <c r="U68" s="515">
        <f>H114</f>
        <v>0.32</v>
      </c>
      <c r="W68" s="441" t="s">
        <v>75</v>
      </c>
      <c r="X68" s="516" t="e">
        <f t="shared" si="18"/>
        <v>#REF!</v>
      </c>
      <c r="Y68" s="516">
        <f t="shared" si="18"/>
        <v>0</v>
      </c>
      <c r="Z68" s="523" t="e">
        <f t="shared" si="18"/>
        <v>#REF!</v>
      </c>
      <c r="AD68" s="441" t="s">
        <v>71</v>
      </c>
      <c r="AE68" s="436">
        <v>9.3700000000000006E-2</v>
      </c>
      <c r="AF68" s="436">
        <v>2.38</v>
      </c>
      <c r="AG68" s="436">
        <v>2380</v>
      </c>
      <c r="AH68" s="525">
        <f t="shared" si="14"/>
        <v>33.071936900670877</v>
      </c>
      <c r="AI68" s="440">
        <f t="shared" si="15"/>
        <v>1.5194596306754302</v>
      </c>
      <c r="AK68" s="441">
        <v>8</v>
      </c>
      <c r="AL68" s="436" t="str">
        <f t="shared" si="12"/>
        <v/>
      </c>
      <c r="AM68" s="514" t="e">
        <f t="shared" si="13"/>
        <v>#N/A</v>
      </c>
      <c r="AN68" s="514" t="e">
        <f t="shared" si="13"/>
        <v>#N/A</v>
      </c>
      <c r="AO68" s="514" t="e">
        <f t="shared" si="13"/>
        <v>#N/A</v>
      </c>
      <c r="AP68" s="513" t="e">
        <f t="shared" si="13"/>
        <v>#N/A</v>
      </c>
      <c r="AQ68" s="436" t="e">
        <f>NA()</f>
        <v>#N/A</v>
      </c>
      <c r="AR68" s="441"/>
      <c r="AU68" s="514" t="e">
        <f t="shared" si="16"/>
        <v>#N/A</v>
      </c>
      <c r="AV68" s="514" t="e">
        <f t="shared" si="17"/>
        <v>#N/A</v>
      </c>
      <c r="AW68" s="513" t="e">
        <f t="shared" si="17"/>
        <v>#N/A</v>
      </c>
    </row>
    <row r="69" spans="6:49" x14ac:dyDescent="0.25">
      <c r="H69" s="451" t="s">
        <v>149</v>
      </c>
      <c r="I69" s="516" t="e">
        <f>#REF!</f>
        <v>#REF!</v>
      </c>
      <c r="J69" s="436" t="s">
        <v>148</v>
      </c>
      <c r="T69" s="518">
        <f>G115</f>
        <v>0.52</v>
      </c>
      <c r="U69" s="515">
        <f>H115</f>
        <v>0.34</v>
      </c>
      <c r="W69" s="441" t="s">
        <v>74</v>
      </c>
      <c r="X69" s="516" t="e">
        <f t="shared" si="18"/>
        <v>#REF!</v>
      </c>
      <c r="Y69" s="516">
        <f t="shared" si="18"/>
        <v>0.08</v>
      </c>
      <c r="Z69" s="523" t="e">
        <f t="shared" si="18"/>
        <v>#REF!</v>
      </c>
      <c r="AD69" s="441" t="s">
        <v>70</v>
      </c>
      <c r="AE69" s="436">
        <v>4.6899999999999997E-2</v>
      </c>
      <c r="AF69" s="436">
        <v>1.19</v>
      </c>
      <c r="AG69" s="436">
        <v>1190</v>
      </c>
      <c r="AH69" s="525">
        <f t="shared" si="14"/>
        <v>24.210074876744265</v>
      </c>
      <c r="AI69" s="440">
        <f t="shared" si="15"/>
        <v>1.3839961326266388</v>
      </c>
      <c r="AK69" s="441">
        <v>9</v>
      </c>
      <c r="AL69" s="436" t="str">
        <f t="shared" si="12"/>
        <v/>
      </c>
      <c r="AM69" s="514" t="e">
        <f t="shared" si="13"/>
        <v>#N/A</v>
      </c>
      <c r="AN69" s="514" t="e">
        <f t="shared" si="13"/>
        <v>#N/A</v>
      </c>
      <c r="AO69" s="514" t="e">
        <f t="shared" si="13"/>
        <v>#N/A</v>
      </c>
      <c r="AP69" s="513" t="e">
        <f t="shared" si="13"/>
        <v>#N/A</v>
      </c>
      <c r="AQ69" s="436" t="e">
        <f>NA()</f>
        <v>#N/A</v>
      </c>
      <c r="AR69" s="441"/>
      <c r="AU69" s="514" t="e">
        <f t="shared" si="16"/>
        <v>#N/A</v>
      </c>
      <c r="AV69" s="514" t="e">
        <f t="shared" si="17"/>
        <v>#N/A</v>
      </c>
      <c r="AW69" s="513" t="e">
        <f t="shared" si="17"/>
        <v>#N/A</v>
      </c>
    </row>
    <row r="70" spans="6:49" x14ac:dyDescent="0.25">
      <c r="H70" s="451" t="s">
        <v>147</v>
      </c>
      <c r="I70" s="436" t="e">
        <f>#REF!</f>
        <v>#REF!</v>
      </c>
      <c r="J70" s="436" t="s">
        <v>146</v>
      </c>
      <c r="T70" s="441" t="s">
        <v>145</v>
      </c>
      <c r="U70" s="440"/>
      <c r="W70" s="441" t="s">
        <v>73</v>
      </c>
      <c r="X70" s="516" t="e">
        <f t="shared" si="18"/>
        <v>#REF!</v>
      </c>
      <c r="Y70" s="516">
        <f t="shared" si="18"/>
        <v>0.08</v>
      </c>
      <c r="Z70" s="523" t="e">
        <f t="shared" si="18"/>
        <v>#REF!</v>
      </c>
      <c r="AD70" s="441" t="s">
        <v>69</v>
      </c>
      <c r="AE70" s="436">
        <v>2.3400000000000001E-2</v>
      </c>
      <c r="AF70" s="436">
        <v>0.59499999999999997</v>
      </c>
      <c r="AG70" s="436">
        <v>595</v>
      </c>
      <c r="AH70" s="525">
        <f t="shared" si="14"/>
        <v>17.722812162406921</v>
      </c>
      <c r="AI70" s="440">
        <f t="shared" si="15"/>
        <v>1.2485326345778474</v>
      </c>
      <c r="AK70" s="441">
        <v>10</v>
      </c>
      <c r="AL70" s="436" t="str">
        <f t="shared" si="12"/>
        <v>No. 100</v>
      </c>
      <c r="AM70" s="514" t="e">
        <f t="shared" si="13"/>
        <v>#REF!</v>
      </c>
      <c r="AN70" s="514" t="e">
        <f t="shared" si="13"/>
        <v>#N/A</v>
      </c>
      <c r="AO70" s="514" t="e">
        <f t="shared" si="13"/>
        <v>#N/A</v>
      </c>
      <c r="AP70" s="513" t="e">
        <f t="shared" si="13"/>
        <v>#N/A</v>
      </c>
      <c r="AQ70" s="526">
        <f>AQ67</f>
        <v>1</v>
      </c>
      <c r="AR70" s="441"/>
      <c r="AU70" s="514" t="e">
        <f t="shared" si="16"/>
        <v>#VALUE!</v>
      </c>
      <c r="AV70" s="514" t="str">
        <f t="shared" si="17"/>
        <v/>
      </c>
      <c r="AW70" s="513" t="str">
        <f t="shared" si="17"/>
        <v/>
      </c>
    </row>
    <row r="71" spans="6:49" x14ac:dyDescent="0.25">
      <c r="T71" s="518" t="e">
        <f>J58</f>
        <v>#REF!</v>
      </c>
      <c r="U71" s="517" t="e">
        <f>J61</f>
        <v>#REF!</v>
      </c>
      <c r="W71" s="441" t="s">
        <v>72</v>
      </c>
      <c r="X71" s="516" t="e">
        <f t="shared" si="18"/>
        <v>#REF!</v>
      </c>
      <c r="Y71" s="516">
        <f t="shared" si="18"/>
        <v>0.08</v>
      </c>
      <c r="Z71" s="523" t="e">
        <f t="shared" si="18"/>
        <v>#REF!</v>
      </c>
      <c r="AD71" s="441" t="s">
        <v>68</v>
      </c>
      <c r="AE71" s="436">
        <v>1.17E-2</v>
      </c>
      <c r="AF71" s="436">
        <v>0.29699999999999999</v>
      </c>
      <c r="AG71" s="436">
        <v>297</v>
      </c>
      <c r="AH71" s="525">
        <f t="shared" si="14"/>
        <v>12.964041189051768</v>
      </c>
      <c r="AI71" s="440">
        <f t="shared" si="15"/>
        <v>1.1127404021927456</v>
      </c>
      <c r="AK71" s="441">
        <v>11</v>
      </c>
      <c r="AL71" s="436" t="str">
        <f t="shared" si="12"/>
        <v/>
      </c>
      <c r="AM71" s="514" t="e">
        <f t="shared" si="13"/>
        <v>#N/A</v>
      </c>
      <c r="AN71" s="514" t="e">
        <f t="shared" si="13"/>
        <v>#N/A</v>
      </c>
      <c r="AO71" s="514" t="e">
        <f t="shared" si="13"/>
        <v>#N/A</v>
      </c>
      <c r="AP71" s="513" t="e">
        <f t="shared" si="13"/>
        <v>#N/A</v>
      </c>
      <c r="AQ71" s="436" t="e">
        <f>NA()</f>
        <v>#N/A</v>
      </c>
      <c r="AR71" s="441"/>
      <c r="AU71" s="514" t="e">
        <f t="shared" si="16"/>
        <v>#N/A</v>
      </c>
      <c r="AV71" s="514" t="e">
        <f t="shared" si="17"/>
        <v>#N/A</v>
      </c>
      <c r="AW71" s="513" t="e">
        <f t="shared" si="17"/>
        <v>#N/A</v>
      </c>
    </row>
    <row r="72" spans="6:49" x14ac:dyDescent="0.25">
      <c r="G72" s="436" t="s">
        <v>144</v>
      </c>
      <c r="T72" s="441" t="s">
        <v>143</v>
      </c>
      <c r="U72" s="440"/>
      <c r="W72" s="441" t="s">
        <v>71</v>
      </c>
      <c r="X72" s="516" t="e">
        <f t="shared" si="18"/>
        <v>#REF!</v>
      </c>
      <c r="Y72" s="516">
        <f t="shared" si="18"/>
        <v>0.08</v>
      </c>
      <c r="Z72" s="523" t="e">
        <f t="shared" si="18"/>
        <v>#REF!</v>
      </c>
      <c r="AD72" s="441" t="s">
        <v>67</v>
      </c>
      <c r="AE72" s="436">
        <v>5.8999999999999999E-3</v>
      </c>
      <c r="AF72" s="436">
        <v>0.14899999999999999</v>
      </c>
      <c r="AG72" s="436">
        <v>149</v>
      </c>
      <c r="AH72" s="525">
        <f t="shared" si="14"/>
        <v>9.5045994842303667</v>
      </c>
      <c r="AI72" s="440">
        <f t="shared" si="15"/>
        <v>0.97793382078552349</v>
      </c>
      <c r="AK72" s="441">
        <v>12</v>
      </c>
      <c r="AL72" s="436" t="str">
        <f t="shared" si="12"/>
        <v/>
      </c>
      <c r="AM72" s="514" t="e">
        <f t="shared" si="13"/>
        <v>#N/A</v>
      </c>
      <c r="AN72" s="514" t="e">
        <f t="shared" si="13"/>
        <v>#N/A</v>
      </c>
      <c r="AO72" s="514" t="e">
        <f t="shared" si="13"/>
        <v>#N/A</v>
      </c>
      <c r="AP72" s="513" t="e">
        <f t="shared" si="13"/>
        <v>#N/A</v>
      </c>
      <c r="AQ72" s="436" t="e">
        <f>NA()</f>
        <v>#N/A</v>
      </c>
      <c r="AR72" s="441"/>
      <c r="AU72" s="514" t="e">
        <f t="shared" si="16"/>
        <v>#N/A</v>
      </c>
      <c r="AV72" s="514" t="e">
        <f t="shared" si="17"/>
        <v>#N/A</v>
      </c>
      <c r="AW72" s="513" t="e">
        <f t="shared" si="17"/>
        <v>#N/A</v>
      </c>
    </row>
    <row r="73" spans="6:49" x14ac:dyDescent="0.25">
      <c r="H73" s="436" t="s">
        <v>142</v>
      </c>
      <c r="T73" s="518">
        <f>G81</f>
        <v>0.8</v>
      </c>
      <c r="U73" s="517">
        <f>H81</f>
        <v>0.26</v>
      </c>
      <c r="W73" s="441" t="s">
        <v>70</v>
      </c>
      <c r="X73" s="516" t="e">
        <f t="shared" ref="X73:Z76" si="19">X87</f>
        <v>#REF!</v>
      </c>
      <c r="Y73" s="516">
        <f t="shared" si="19"/>
        <v>0.08</v>
      </c>
      <c r="Z73" s="523" t="e">
        <f t="shared" si="19"/>
        <v>#REF!</v>
      </c>
      <c r="AD73" s="441" t="s">
        <v>66</v>
      </c>
      <c r="AE73" s="436">
        <v>2.8999999999999998E-3</v>
      </c>
      <c r="AF73" s="436">
        <v>7.3999999999999996E-2</v>
      </c>
      <c r="AG73" s="436">
        <v>74</v>
      </c>
      <c r="AH73" s="525">
        <f t="shared" si="14"/>
        <v>6.9367217454368229</v>
      </c>
      <c r="AI73" s="440">
        <f t="shared" si="15"/>
        <v>0.84115427387893937</v>
      </c>
      <c r="AK73" s="441">
        <v>13</v>
      </c>
      <c r="AL73" s="436" t="str">
        <f t="shared" si="12"/>
        <v>No. 50</v>
      </c>
      <c r="AM73" s="514" t="e">
        <f t="shared" si="13"/>
        <v>#REF!</v>
      </c>
      <c r="AN73" s="514" t="e">
        <f t="shared" si="13"/>
        <v>#N/A</v>
      </c>
      <c r="AO73" s="514" t="e">
        <f t="shared" si="13"/>
        <v>#N/A</v>
      </c>
      <c r="AP73" s="513" t="e">
        <f t="shared" si="13"/>
        <v>#N/A</v>
      </c>
      <c r="AQ73" s="515">
        <f>AQ67</f>
        <v>1</v>
      </c>
      <c r="AR73" s="441"/>
      <c r="AU73" s="514" t="e">
        <f t="shared" si="16"/>
        <v>#VALUE!</v>
      </c>
      <c r="AV73" s="514" t="str">
        <f t="shared" si="17"/>
        <v/>
      </c>
      <c r="AW73" s="513" t="str">
        <f t="shared" si="17"/>
        <v/>
      </c>
    </row>
    <row r="74" spans="6:49" x14ac:dyDescent="0.25">
      <c r="H74" s="436" t="s">
        <v>141</v>
      </c>
      <c r="T74" s="518">
        <f>H100</f>
        <v>0.75</v>
      </c>
      <c r="U74" s="517">
        <f>$U$73+(T74-$T$73)*($U$76-$U$73)/($T$76-$T$73)</f>
        <v>0.26900000000000002</v>
      </c>
      <c r="W74" s="441" t="s">
        <v>69</v>
      </c>
      <c r="X74" s="516" t="e">
        <f t="shared" si="19"/>
        <v>#REF!</v>
      </c>
      <c r="Y74" s="516">
        <f t="shared" si="19"/>
        <v>0.08</v>
      </c>
      <c r="Z74" s="523">
        <f t="shared" si="19"/>
        <v>0.15</v>
      </c>
      <c r="AD74" s="439" t="s">
        <v>65</v>
      </c>
      <c r="AE74" s="438">
        <v>0</v>
      </c>
      <c r="AF74" s="438">
        <v>0</v>
      </c>
      <c r="AG74" s="438">
        <v>0</v>
      </c>
      <c r="AH74" s="524">
        <f t="shared" si="14"/>
        <v>0</v>
      </c>
      <c r="AI74" s="437" t="e">
        <f t="shared" si="15"/>
        <v>#NUM!</v>
      </c>
      <c r="AK74" s="441">
        <v>14</v>
      </c>
      <c r="AL74" s="436" t="str">
        <f t="shared" si="12"/>
        <v/>
      </c>
      <c r="AM74" s="514" t="e">
        <f t="shared" si="13"/>
        <v>#N/A</v>
      </c>
      <c r="AN74" s="514" t="e">
        <f t="shared" si="13"/>
        <v>#N/A</v>
      </c>
      <c r="AO74" s="514" t="e">
        <f t="shared" si="13"/>
        <v>#N/A</v>
      </c>
      <c r="AP74" s="513" t="e">
        <f t="shared" si="13"/>
        <v>#N/A</v>
      </c>
      <c r="AQ74" s="436" t="e">
        <f>NA()</f>
        <v>#N/A</v>
      </c>
      <c r="AR74" s="441"/>
      <c r="AU74" s="514" t="e">
        <f t="shared" si="16"/>
        <v>#N/A</v>
      </c>
      <c r="AV74" s="514" t="e">
        <f t="shared" si="17"/>
        <v>#N/A</v>
      </c>
      <c r="AW74" s="513" t="e">
        <f t="shared" si="17"/>
        <v>#N/A</v>
      </c>
    </row>
    <row r="75" spans="6:49" x14ac:dyDescent="0.25">
      <c r="H75" s="436" t="s">
        <v>140</v>
      </c>
      <c r="T75" s="518">
        <f>T77</f>
        <v>0.45</v>
      </c>
      <c r="U75" s="517">
        <f>$U$73+(T75-$T$73)*($U$76-$U$73)/($T$76-$T$73)</f>
        <v>0.32300000000000001</v>
      </c>
      <c r="W75" s="441" t="s">
        <v>68</v>
      </c>
      <c r="X75" s="516" t="e">
        <f t="shared" si="19"/>
        <v>#REF!</v>
      </c>
      <c r="Y75" s="516">
        <f t="shared" si="19"/>
        <v>0.08</v>
      </c>
      <c r="Z75" s="523">
        <f t="shared" si="19"/>
        <v>0.15</v>
      </c>
      <c r="AK75" s="441">
        <v>15</v>
      </c>
      <c r="AL75" s="436" t="str">
        <f t="shared" si="12"/>
        <v/>
      </c>
      <c r="AM75" s="514" t="e">
        <f t="shared" si="13"/>
        <v>#N/A</v>
      </c>
      <c r="AN75" s="514" t="e">
        <f t="shared" si="13"/>
        <v>#N/A</v>
      </c>
      <c r="AO75" s="514" t="e">
        <f t="shared" si="13"/>
        <v>#N/A</v>
      </c>
      <c r="AP75" s="513" t="e">
        <f t="shared" si="13"/>
        <v>#N/A</v>
      </c>
      <c r="AQ75" s="436" t="e">
        <f>NA()</f>
        <v>#N/A</v>
      </c>
      <c r="AR75" s="441"/>
      <c r="AU75" s="514" t="e">
        <f t="shared" si="16"/>
        <v>#N/A</v>
      </c>
      <c r="AV75" s="514" t="e">
        <f t="shared" si="17"/>
        <v>#N/A</v>
      </c>
      <c r="AW75" s="513" t="e">
        <f t="shared" si="17"/>
        <v>#N/A</v>
      </c>
    </row>
    <row r="76" spans="6:49" x14ac:dyDescent="0.25">
      <c r="T76" s="518">
        <f>G82</f>
        <v>0.3</v>
      </c>
      <c r="U76" s="517">
        <f>H82</f>
        <v>0.35</v>
      </c>
      <c r="W76" s="441" t="s">
        <v>67</v>
      </c>
      <c r="X76" s="516" t="e">
        <f t="shared" si="19"/>
        <v>#REF!</v>
      </c>
      <c r="Y76" s="516">
        <f t="shared" si="19"/>
        <v>0</v>
      </c>
      <c r="Z76" s="523">
        <f t="shared" si="19"/>
        <v>7.4999999999999997E-2</v>
      </c>
      <c r="AK76" s="441">
        <v>16</v>
      </c>
      <c r="AL76" s="436" t="str">
        <f t="shared" si="12"/>
        <v/>
      </c>
      <c r="AM76" s="514" t="e">
        <f t="shared" si="13"/>
        <v>#N/A</v>
      </c>
      <c r="AN76" s="514" t="e">
        <f t="shared" si="13"/>
        <v>#N/A</v>
      </c>
      <c r="AO76" s="514" t="e">
        <f t="shared" si="13"/>
        <v>#N/A</v>
      </c>
      <c r="AP76" s="513" t="e">
        <f t="shared" si="13"/>
        <v>#N/A</v>
      </c>
      <c r="AQ76" s="436" t="e">
        <f>NA()</f>
        <v>#N/A</v>
      </c>
      <c r="AR76" s="441"/>
      <c r="AU76" s="514" t="e">
        <f t="shared" si="16"/>
        <v>#N/A</v>
      </c>
      <c r="AV76" s="514" t="e">
        <f t="shared" si="17"/>
        <v>#N/A</v>
      </c>
      <c r="AW76" s="513" t="e">
        <f t="shared" si="17"/>
        <v>#N/A</v>
      </c>
    </row>
    <row r="77" spans="6:49" x14ac:dyDescent="0.25">
      <c r="F77" s="480" t="s">
        <v>139</v>
      </c>
      <c r="G77" s="463"/>
      <c r="H77" s="463"/>
      <c r="I77" s="463"/>
      <c r="J77" s="463"/>
      <c r="K77" s="463"/>
      <c r="L77" s="463"/>
      <c r="M77" s="462"/>
      <c r="T77" s="518">
        <f>H101</f>
        <v>0.45</v>
      </c>
      <c r="U77" s="517">
        <f>U75</f>
        <v>0.32300000000000001</v>
      </c>
      <c r="W77" s="439" t="s">
        <v>66</v>
      </c>
      <c r="X77" s="519" t="e">
        <f>#REF!</f>
        <v>#REF!</v>
      </c>
      <c r="Y77" s="519" t="e">
        <f>NA()</f>
        <v>#N/A</v>
      </c>
      <c r="Z77" s="522">
        <v>0</v>
      </c>
      <c r="AK77" s="441">
        <v>17</v>
      </c>
      <c r="AL77" s="436" t="str">
        <f t="shared" si="12"/>
        <v/>
      </c>
      <c r="AM77" s="514" t="e">
        <f t="shared" si="13"/>
        <v>#N/A</v>
      </c>
      <c r="AN77" s="514" t="e">
        <f t="shared" si="13"/>
        <v>#N/A</v>
      </c>
      <c r="AO77" s="514" t="e">
        <f t="shared" si="13"/>
        <v>#N/A</v>
      </c>
      <c r="AP77" s="513" t="e">
        <f t="shared" si="13"/>
        <v>#N/A</v>
      </c>
      <c r="AQ77" s="436" t="e">
        <f>NA()</f>
        <v>#N/A</v>
      </c>
      <c r="AR77" s="441"/>
      <c r="AU77" s="514" t="e">
        <f t="shared" si="16"/>
        <v>#N/A</v>
      </c>
      <c r="AV77" s="514" t="e">
        <f t="shared" si="17"/>
        <v>#N/A</v>
      </c>
      <c r="AW77" s="513" t="e">
        <f t="shared" si="17"/>
        <v>#N/A</v>
      </c>
    </row>
    <row r="78" spans="6:49" x14ac:dyDescent="0.25">
      <c r="F78" s="441" t="s">
        <v>138</v>
      </c>
      <c r="M78" s="440"/>
      <c r="T78" s="518">
        <f>T77</f>
        <v>0.45</v>
      </c>
      <c r="U78" s="517">
        <f>U77+($U$79-$U$73)</f>
        <v>0.443</v>
      </c>
      <c r="W78" s="480" t="s">
        <v>82</v>
      </c>
      <c r="X78" s="463"/>
      <c r="Y78" s="463"/>
      <c r="Z78" s="463">
        <v>0</v>
      </c>
      <c r="AA78" s="462"/>
      <c r="AK78" s="441">
        <v>18</v>
      </c>
      <c r="AL78" s="436" t="str">
        <f t="shared" si="12"/>
        <v>No. 30</v>
      </c>
      <c r="AM78" s="514" t="e">
        <f t="shared" si="13"/>
        <v>#REF!</v>
      </c>
      <c r="AN78" s="514" t="e">
        <f t="shared" si="13"/>
        <v>#N/A</v>
      </c>
      <c r="AO78" s="514" t="e">
        <f t="shared" si="13"/>
        <v>#N/A</v>
      </c>
      <c r="AP78" s="513" t="e">
        <f t="shared" si="13"/>
        <v>#N/A</v>
      </c>
      <c r="AQ78" s="515">
        <f>AQ67</f>
        <v>1</v>
      </c>
      <c r="AR78" s="441"/>
      <c r="AU78" s="514" t="e">
        <f t="shared" si="16"/>
        <v>#VALUE!</v>
      </c>
      <c r="AV78" s="514" t="str">
        <f t="shared" si="17"/>
        <v/>
      </c>
      <c r="AW78" s="513" t="str">
        <f t="shared" si="17"/>
        <v/>
      </c>
    </row>
    <row r="79" spans="6:49" x14ac:dyDescent="0.25">
      <c r="F79" s="441"/>
      <c r="G79" s="436" t="s">
        <v>113</v>
      </c>
      <c r="M79" s="440"/>
      <c r="T79" s="518">
        <f>G90</f>
        <v>0.8</v>
      </c>
      <c r="U79" s="517">
        <f>H90</f>
        <v>0.38</v>
      </c>
      <c r="W79" s="441" t="s">
        <v>78</v>
      </c>
      <c r="X79" s="516" t="e">
        <f>#REF!</f>
        <v>#REF!</v>
      </c>
      <c r="Y79" s="516">
        <v>0</v>
      </c>
      <c r="Z79" s="516" t="e">
        <f>IF(Z78&gt;0,Z78,IF(SUM(#REF!)=0,0,AA79))</f>
        <v>#REF!</v>
      </c>
      <c r="AA79" s="440">
        <v>0</v>
      </c>
      <c r="AK79" s="441">
        <v>19</v>
      </c>
      <c r="AL79" s="436" t="str">
        <f t="shared" si="12"/>
        <v/>
      </c>
      <c r="AM79" s="514" t="e">
        <f t="shared" si="13"/>
        <v>#N/A</v>
      </c>
      <c r="AN79" s="514" t="e">
        <f t="shared" si="13"/>
        <v>#N/A</v>
      </c>
      <c r="AO79" s="514" t="e">
        <f t="shared" si="13"/>
        <v>#N/A</v>
      </c>
      <c r="AP79" s="513" t="e">
        <f t="shared" si="13"/>
        <v>#N/A</v>
      </c>
      <c r="AQ79" s="436" t="e">
        <f>NA()</f>
        <v>#N/A</v>
      </c>
      <c r="AR79" s="441"/>
      <c r="AU79" s="514" t="e">
        <f t="shared" si="16"/>
        <v>#N/A</v>
      </c>
      <c r="AV79" s="514" t="e">
        <f t="shared" si="17"/>
        <v>#N/A</v>
      </c>
      <c r="AW79" s="513" t="e">
        <f t="shared" si="17"/>
        <v>#N/A</v>
      </c>
    </row>
    <row r="80" spans="6:49" x14ac:dyDescent="0.25">
      <c r="F80" s="441"/>
      <c r="G80" s="436" t="s">
        <v>112</v>
      </c>
      <c r="H80" s="436" t="s">
        <v>111</v>
      </c>
      <c r="M80" s="440"/>
      <c r="T80" s="518">
        <f>T74</f>
        <v>0.75</v>
      </c>
      <c r="U80" s="517">
        <f>U74+($U$79-$U$73)</f>
        <v>0.38900000000000001</v>
      </c>
      <c r="W80" s="441" t="s">
        <v>77</v>
      </c>
      <c r="X80" s="516" t="e">
        <f>#REF!</f>
        <v>#REF!</v>
      </c>
      <c r="Y80" s="516">
        <v>0</v>
      </c>
      <c r="Z80" s="516" t="e">
        <f>IF(Z79&gt;0,Z79,IF(SUM(#REF!)=0,0,AA80))</f>
        <v>#REF!</v>
      </c>
      <c r="AA80" s="440">
        <v>0.18</v>
      </c>
      <c r="AK80" s="441">
        <v>20</v>
      </c>
      <c r="AL80" s="436" t="str">
        <f t="shared" si="12"/>
        <v/>
      </c>
      <c r="AM80" s="514" t="e">
        <f t="shared" ref="AM80:AP99" si="20">IF(ISBLANK(VLOOKUP($AK80,$AK$43:$AP$56,AM$59,FALSE)),NA(),VLOOKUP($AK80,$AK$43:$AP$56,AM$59,FALSE))</f>
        <v>#N/A</v>
      </c>
      <c r="AN80" s="514" t="e">
        <f t="shared" si="20"/>
        <v>#N/A</v>
      </c>
      <c r="AO80" s="514" t="e">
        <f t="shared" si="20"/>
        <v>#N/A</v>
      </c>
      <c r="AP80" s="513" t="e">
        <f t="shared" si="20"/>
        <v>#N/A</v>
      </c>
      <c r="AQ80" s="436" t="e">
        <f>NA()</f>
        <v>#N/A</v>
      </c>
      <c r="AR80" s="441"/>
      <c r="AU80" s="514" t="e">
        <f t="shared" si="16"/>
        <v>#N/A</v>
      </c>
      <c r="AV80" s="514" t="e">
        <f t="shared" si="17"/>
        <v>#N/A</v>
      </c>
      <c r="AW80" s="513" t="e">
        <f t="shared" si="17"/>
        <v>#N/A</v>
      </c>
    </row>
    <row r="81" spans="6:49" x14ac:dyDescent="0.25">
      <c r="F81" s="441"/>
      <c r="G81" s="515">
        <v>0.8</v>
      </c>
      <c r="H81" s="515">
        <v>0.26</v>
      </c>
      <c r="M81" s="440"/>
      <c r="T81" s="518">
        <f>T80</f>
        <v>0.75</v>
      </c>
      <c r="U81" s="517">
        <f>U74</f>
        <v>0.26900000000000002</v>
      </c>
      <c r="W81" s="441" t="s">
        <v>76</v>
      </c>
      <c r="X81" s="516" t="e">
        <f>#REF!</f>
        <v>#REF!</v>
      </c>
      <c r="Y81" s="516">
        <v>0</v>
      </c>
      <c r="Z81" s="516" t="e">
        <f>IF(Z80&gt;0,Z80,IF(SUM(#REF!)=0,0,AA81))</f>
        <v>#REF!</v>
      </c>
      <c r="AA81" s="440">
        <v>0.18</v>
      </c>
      <c r="AK81" s="441">
        <v>21</v>
      </c>
      <c r="AL81" s="436" t="str">
        <f t="shared" si="12"/>
        <v/>
      </c>
      <c r="AM81" s="514" t="e">
        <f t="shared" si="20"/>
        <v>#N/A</v>
      </c>
      <c r="AN81" s="514" t="e">
        <f t="shared" si="20"/>
        <v>#N/A</v>
      </c>
      <c r="AO81" s="514" t="e">
        <f t="shared" si="20"/>
        <v>#N/A</v>
      </c>
      <c r="AP81" s="513" t="e">
        <f t="shared" si="20"/>
        <v>#N/A</v>
      </c>
      <c r="AQ81" s="436" t="e">
        <f>NA()</f>
        <v>#N/A</v>
      </c>
      <c r="AR81" s="441"/>
      <c r="AU81" s="514" t="e">
        <f t="shared" si="16"/>
        <v>#N/A</v>
      </c>
      <c r="AV81" s="514" t="e">
        <f t="shared" ref="AV81:AW100" si="21">IF(ISBLANK(VLOOKUP($AK81,$AK$43:$AW$56,AV$59,FALSE)),NA(),VLOOKUP($AK81,$AK$43:$AW$56,AV$59,FALSE))</f>
        <v>#N/A</v>
      </c>
      <c r="AW81" s="513" t="e">
        <f t="shared" si="21"/>
        <v>#N/A</v>
      </c>
    </row>
    <row r="82" spans="6:49" x14ac:dyDescent="0.25">
      <c r="F82" s="441"/>
      <c r="G82" s="515">
        <v>0.3</v>
      </c>
      <c r="H82" s="515">
        <v>0.35</v>
      </c>
      <c r="M82" s="440"/>
      <c r="T82" s="518">
        <f>T81</f>
        <v>0.75</v>
      </c>
      <c r="U82" s="517">
        <f>U80</f>
        <v>0.38900000000000001</v>
      </c>
      <c r="W82" s="441" t="s">
        <v>75</v>
      </c>
      <c r="X82" s="516" t="e">
        <f>#REF!</f>
        <v>#REF!</v>
      </c>
      <c r="Y82" s="516">
        <v>0</v>
      </c>
      <c r="Z82" s="516" t="e">
        <f>IF(Z81&gt;0,Z81,IF(SUM(#REF!)=0,0,AA82))</f>
        <v>#REF!</v>
      </c>
      <c r="AA82" s="440">
        <v>0.2</v>
      </c>
      <c r="AK82" s="441">
        <v>22</v>
      </c>
      <c r="AL82" s="436" t="str">
        <f t="shared" si="12"/>
        <v/>
      </c>
      <c r="AM82" s="514" t="e">
        <f t="shared" si="20"/>
        <v>#N/A</v>
      </c>
      <c r="AN82" s="514" t="e">
        <f t="shared" si="20"/>
        <v>#N/A</v>
      </c>
      <c r="AO82" s="514" t="e">
        <f t="shared" si="20"/>
        <v>#N/A</v>
      </c>
      <c r="AP82" s="513" t="e">
        <f t="shared" si="20"/>
        <v>#N/A</v>
      </c>
      <c r="AQ82" s="436" t="e">
        <f>NA()</f>
        <v>#N/A</v>
      </c>
      <c r="AR82" s="441"/>
      <c r="AU82" s="514" t="e">
        <f t="shared" si="16"/>
        <v>#N/A</v>
      </c>
      <c r="AV82" s="514" t="e">
        <f t="shared" si="21"/>
        <v>#N/A</v>
      </c>
      <c r="AW82" s="513" t="e">
        <f t="shared" si="21"/>
        <v>#N/A</v>
      </c>
    </row>
    <row r="83" spans="6:49" x14ac:dyDescent="0.25">
      <c r="F83" s="441"/>
      <c r="G83" s="436" t="s">
        <v>110</v>
      </c>
      <c r="M83" s="440"/>
      <c r="T83" s="518">
        <f>T78</f>
        <v>0.45</v>
      </c>
      <c r="U83" s="517">
        <f>U78</f>
        <v>0.443</v>
      </c>
      <c r="W83" s="441" t="s">
        <v>74</v>
      </c>
      <c r="X83" s="516" t="e">
        <f>#REF!</f>
        <v>#REF!</v>
      </c>
      <c r="Y83" s="516">
        <v>0.08</v>
      </c>
      <c r="Z83" s="516" t="e">
        <f>IF(Z82&gt;0,Z82,IF(SUM(#REF!)=0,0,AA83))</f>
        <v>#REF!</v>
      </c>
      <c r="AA83" s="440">
        <f>AA82</f>
        <v>0.2</v>
      </c>
      <c r="AK83" s="441">
        <v>23</v>
      </c>
      <c r="AL83" s="436" t="str">
        <f t="shared" si="12"/>
        <v/>
      </c>
      <c r="AM83" s="514" t="e">
        <f t="shared" si="20"/>
        <v>#N/A</v>
      </c>
      <c r="AN83" s="514" t="e">
        <f t="shared" si="20"/>
        <v>#N/A</v>
      </c>
      <c r="AO83" s="514" t="e">
        <f t="shared" si="20"/>
        <v>#N/A</v>
      </c>
      <c r="AP83" s="513" t="e">
        <f t="shared" si="20"/>
        <v>#N/A</v>
      </c>
      <c r="AQ83" s="436" t="e">
        <f>NA()</f>
        <v>#N/A</v>
      </c>
      <c r="AR83" s="441"/>
      <c r="AU83" s="514" t="e">
        <f t="shared" si="16"/>
        <v>#N/A</v>
      </c>
      <c r="AV83" s="514" t="e">
        <f t="shared" si="21"/>
        <v>#N/A</v>
      </c>
      <c r="AW83" s="513" t="e">
        <f t="shared" si="21"/>
        <v>#N/A</v>
      </c>
    </row>
    <row r="84" spans="6:49" x14ac:dyDescent="0.25">
      <c r="F84" s="441"/>
      <c r="G84" s="436" t="s">
        <v>109</v>
      </c>
      <c r="H84" s="436" t="s">
        <v>108</v>
      </c>
      <c r="I84" s="436" t="s">
        <v>107</v>
      </c>
      <c r="M84" s="440"/>
      <c r="T84" s="520">
        <f>G91</f>
        <v>0.3</v>
      </c>
      <c r="U84" s="521">
        <f>H91</f>
        <v>0.47</v>
      </c>
      <c r="W84" s="441" t="s">
        <v>73</v>
      </c>
      <c r="X84" s="516" t="e">
        <f>#REF!</f>
        <v>#REF!</v>
      </c>
      <c r="Y84" s="516">
        <v>0.08</v>
      </c>
      <c r="Z84" s="516" t="e">
        <f>IF(Z83&gt;0,Z83,IF(SUM(#REF!)=0,0,AA84))</f>
        <v>#REF!</v>
      </c>
      <c r="AA84" s="440">
        <f>AA83</f>
        <v>0.2</v>
      </c>
      <c r="AK84" s="441">
        <v>24</v>
      </c>
      <c r="AL84" s="436" t="str">
        <f t="shared" si="12"/>
        <v>No. 16</v>
      </c>
      <c r="AM84" s="514" t="e">
        <f t="shared" si="20"/>
        <v>#REF!</v>
      </c>
      <c r="AN84" s="514" t="e">
        <f t="shared" si="20"/>
        <v>#N/A</v>
      </c>
      <c r="AO84" s="514" t="e">
        <f t="shared" si="20"/>
        <v>#N/A</v>
      </c>
      <c r="AP84" s="513" t="e">
        <f t="shared" si="20"/>
        <v>#N/A</v>
      </c>
      <c r="AQ84" s="515">
        <f>AQ67</f>
        <v>1</v>
      </c>
      <c r="AR84" s="441"/>
      <c r="AU84" s="514" t="e">
        <f t="shared" si="16"/>
        <v>#VALUE!</v>
      </c>
      <c r="AV84" s="514" t="str">
        <f t="shared" si="21"/>
        <v/>
      </c>
      <c r="AW84" s="513" t="str">
        <f t="shared" si="21"/>
        <v/>
      </c>
    </row>
    <row r="85" spans="6:49" x14ac:dyDescent="0.25">
      <c r="F85" s="441"/>
      <c r="G85" s="516" t="e">
        <f>J58</f>
        <v>#REF!</v>
      </c>
      <c r="H85" s="452" t="e">
        <f>G85*SLOPE(H81:H82,G81:G82)+INTERCEPT(H81:H82,G81:G82)</f>
        <v>#REF!</v>
      </c>
      <c r="I85" s="516" t="e">
        <f>J61</f>
        <v>#REF!</v>
      </c>
      <c r="M85" s="440"/>
      <c r="T85" s="480" t="s">
        <v>137</v>
      </c>
      <c r="U85" s="462"/>
      <c r="W85" s="441" t="s">
        <v>72</v>
      </c>
      <c r="X85" s="516" t="e">
        <f>#REF!</f>
        <v>#REF!</v>
      </c>
      <c r="Y85" s="516">
        <v>0.08</v>
      </c>
      <c r="Z85" s="516" t="e">
        <f>IF(Z84&gt;0,Z84,IF(SUM(#REF!)=0,0,AA85))</f>
        <v>#REF!</v>
      </c>
      <c r="AA85" s="440">
        <f>AA84</f>
        <v>0.2</v>
      </c>
      <c r="AK85" s="441">
        <v>25</v>
      </c>
      <c r="AL85" s="436" t="str">
        <f t="shared" si="12"/>
        <v/>
      </c>
      <c r="AM85" s="514" t="e">
        <f t="shared" si="20"/>
        <v>#N/A</v>
      </c>
      <c r="AN85" s="514" t="e">
        <f t="shared" si="20"/>
        <v>#N/A</v>
      </c>
      <c r="AO85" s="514" t="e">
        <f t="shared" si="20"/>
        <v>#N/A</v>
      </c>
      <c r="AP85" s="513" t="e">
        <f t="shared" si="20"/>
        <v>#N/A</v>
      </c>
      <c r="AQ85" s="436" t="e">
        <f>NA()</f>
        <v>#N/A</v>
      </c>
      <c r="AR85" s="441"/>
      <c r="AU85" s="514" t="e">
        <f t="shared" si="16"/>
        <v>#N/A</v>
      </c>
      <c r="AV85" s="514" t="e">
        <f t="shared" si="21"/>
        <v>#N/A</v>
      </c>
      <c r="AW85" s="513" t="e">
        <f t="shared" si="21"/>
        <v>#N/A</v>
      </c>
    </row>
    <row r="86" spans="6:49" x14ac:dyDescent="0.25">
      <c r="F86" s="441"/>
      <c r="I86" s="436" t="s">
        <v>136</v>
      </c>
      <c r="J86" s="436" t="e">
        <f>IF(I85&lt;=H85,TRUE,FALSE)</f>
        <v>#REF!</v>
      </c>
      <c r="M86" s="440"/>
      <c r="T86" s="518">
        <f>T80</f>
        <v>0.75</v>
      </c>
      <c r="U86" s="440">
        <f>U81+1/3*(U80-U81)*U90</f>
        <v>0.30499999999999999</v>
      </c>
      <c r="W86" s="441" t="s">
        <v>71</v>
      </c>
      <c r="X86" s="516" t="e">
        <f>#REF!</f>
        <v>#REF!</v>
      </c>
      <c r="Y86" s="516">
        <v>0.08</v>
      </c>
      <c r="Z86" s="516" t="e">
        <f>IF(Z85&gt;0,Z85,IF(SUM(#REF!)=0,0,AA86))</f>
        <v>#REF!</v>
      </c>
      <c r="AA86" s="440">
        <f>AA85</f>
        <v>0.2</v>
      </c>
      <c r="AK86" s="441">
        <v>26</v>
      </c>
      <c r="AL86" s="436" t="str">
        <f t="shared" si="12"/>
        <v/>
      </c>
      <c r="AM86" s="514" t="e">
        <f t="shared" si="20"/>
        <v>#N/A</v>
      </c>
      <c r="AN86" s="514" t="e">
        <f t="shared" si="20"/>
        <v>#N/A</v>
      </c>
      <c r="AO86" s="514" t="e">
        <f t="shared" si="20"/>
        <v>#N/A</v>
      </c>
      <c r="AP86" s="513" t="e">
        <f t="shared" si="20"/>
        <v>#N/A</v>
      </c>
      <c r="AQ86" s="436" t="e">
        <f>NA()</f>
        <v>#N/A</v>
      </c>
      <c r="AR86" s="441"/>
      <c r="AU86" s="514" t="e">
        <f t="shared" si="16"/>
        <v>#N/A</v>
      </c>
      <c r="AV86" s="514" t="e">
        <f t="shared" si="21"/>
        <v>#N/A</v>
      </c>
      <c r="AW86" s="513" t="e">
        <f t="shared" si="21"/>
        <v>#N/A</v>
      </c>
    </row>
    <row r="87" spans="6:49" x14ac:dyDescent="0.25">
      <c r="F87" s="441" t="s">
        <v>135</v>
      </c>
      <c r="M87" s="440"/>
      <c r="T87" s="518">
        <f>T77</f>
        <v>0.45</v>
      </c>
      <c r="U87" s="440">
        <f>U77+1/3*(U78-U77)*U90</f>
        <v>0.35899999999999999</v>
      </c>
      <c r="W87" s="441" t="s">
        <v>70</v>
      </c>
      <c r="X87" s="516" t="e">
        <f>#REF!</f>
        <v>#REF!</v>
      </c>
      <c r="Y87" s="516">
        <v>0.08</v>
      </c>
      <c r="Z87" s="516" t="e">
        <f>IF(Z86&gt;0,Z86,IF(SUM(#REF!)=0,0,AA87))</f>
        <v>#REF!</v>
      </c>
      <c r="AA87" s="440">
        <f>AA86</f>
        <v>0.2</v>
      </c>
      <c r="AK87" s="441">
        <v>27</v>
      </c>
      <c r="AL87" s="436" t="str">
        <f t="shared" si="12"/>
        <v/>
      </c>
      <c r="AM87" s="514" t="e">
        <f t="shared" si="20"/>
        <v>#N/A</v>
      </c>
      <c r="AN87" s="514" t="e">
        <f t="shared" si="20"/>
        <v>#N/A</v>
      </c>
      <c r="AO87" s="514" t="e">
        <f t="shared" si="20"/>
        <v>#N/A</v>
      </c>
      <c r="AP87" s="513" t="e">
        <f t="shared" si="20"/>
        <v>#N/A</v>
      </c>
      <c r="AQ87" s="436" t="e">
        <f>NA()</f>
        <v>#N/A</v>
      </c>
      <c r="AR87" s="441"/>
      <c r="AU87" s="514" t="e">
        <f t="shared" si="16"/>
        <v>#N/A</v>
      </c>
      <c r="AV87" s="514" t="e">
        <f t="shared" si="21"/>
        <v>#N/A</v>
      </c>
      <c r="AW87" s="513" t="e">
        <f t="shared" si="21"/>
        <v>#N/A</v>
      </c>
    </row>
    <row r="88" spans="6:49" x14ac:dyDescent="0.25">
      <c r="F88" s="441"/>
      <c r="G88" s="436" t="s">
        <v>113</v>
      </c>
      <c r="M88" s="440"/>
      <c r="T88" s="518">
        <f>T87</f>
        <v>0.45</v>
      </c>
      <c r="U88" s="440">
        <f>U77+2/3*(U78-U77)*U90</f>
        <v>0.39500000000000002</v>
      </c>
      <c r="W88" s="441" t="s">
        <v>69</v>
      </c>
      <c r="X88" s="516" t="e">
        <f>#REF!</f>
        <v>#REF!</v>
      </c>
      <c r="Y88" s="516">
        <v>0.08</v>
      </c>
      <c r="Z88" s="516">
        <v>0.15</v>
      </c>
      <c r="AA88" s="440"/>
      <c r="AK88" s="441">
        <v>28</v>
      </c>
      <c r="AL88" s="436" t="str">
        <f t="shared" si="12"/>
        <v/>
      </c>
      <c r="AM88" s="514" t="e">
        <f t="shared" si="20"/>
        <v>#N/A</v>
      </c>
      <c r="AN88" s="514" t="e">
        <f t="shared" si="20"/>
        <v>#N/A</v>
      </c>
      <c r="AO88" s="514" t="e">
        <f t="shared" si="20"/>
        <v>#N/A</v>
      </c>
      <c r="AP88" s="513" t="e">
        <f t="shared" si="20"/>
        <v>#N/A</v>
      </c>
      <c r="AQ88" s="436" t="e">
        <f>NA()</f>
        <v>#N/A</v>
      </c>
      <c r="AR88" s="441"/>
      <c r="AU88" s="514" t="e">
        <f t="shared" si="16"/>
        <v>#N/A</v>
      </c>
      <c r="AV88" s="514" t="e">
        <f t="shared" si="21"/>
        <v>#N/A</v>
      </c>
      <c r="AW88" s="513" t="e">
        <f t="shared" si="21"/>
        <v>#N/A</v>
      </c>
    </row>
    <row r="89" spans="6:49" x14ac:dyDescent="0.25">
      <c r="F89" s="441"/>
      <c r="G89" s="436" t="s">
        <v>112</v>
      </c>
      <c r="H89" s="436" t="s">
        <v>111</v>
      </c>
      <c r="M89" s="440"/>
      <c r="T89" s="520">
        <f>T86</f>
        <v>0.75</v>
      </c>
      <c r="U89" s="437">
        <f>U81+2/3*(U80-U81)*U90</f>
        <v>0.34100000000000003</v>
      </c>
      <c r="W89" s="441" t="s">
        <v>68</v>
      </c>
      <c r="X89" s="516" t="e">
        <f>#REF!</f>
        <v>#REF!</v>
      </c>
      <c r="Y89" s="516">
        <v>0.08</v>
      </c>
      <c r="Z89" s="516">
        <v>0.15</v>
      </c>
      <c r="AA89" s="440"/>
      <c r="AK89" s="441">
        <v>29</v>
      </c>
      <c r="AL89" s="436" t="str">
        <f t="shared" si="12"/>
        <v/>
      </c>
      <c r="AM89" s="514" t="e">
        <f t="shared" si="20"/>
        <v>#N/A</v>
      </c>
      <c r="AN89" s="514" t="e">
        <f t="shared" si="20"/>
        <v>#N/A</v>
      </c>
      <c r="AO89" s="514" t="e">
        <f t="shared" si="20"/>
        <v>#N/A</v>
      </c>
      <c r="AP89" s="513" t="e">
        <f t="shared" si="20"/>
        <v>#N/A</v>
      </c>
      <c r="AQ89" s="436" t="e">
        <f>NA()</f>
        <v>#N/A</v>
      </c>
      <c r="AR89" s="441"/>
      <c r="AU89" s="514" t="e">
        <f t="shared" si="16"/>
        <v>#N/A</v>
      </c>
      <c r="AV89" s="514" t="e">
        <f t="shared" si="21"/>
        <v>#N/A</v>
      </c>
      <c r="AW89" s="513" t="e">
        <f t="shared" si="21"/>
        <v>#N/A</v>
      </c>
    </row>
    <row r="90" spans="6:49" x14ac:dyDescent="0.25">
      <c r="F90" s="441"/>
      <c r="G90" s="515">
        <v>0.8</v>
      </c>
      <c r="H90" s="515">
        <v>0.38</v>
      </c>
      <c r="M90" s="440"/>
      <c r="T90" s="501" t="s">
        <v>134</v>
      </c>
      <c r="U90" s="500">
        <v>0.9</v>
      </c>
      <c r="W90" s="441" t="s">
        <v>67</v>
      </c>
      <c r="X90" s="516" t="e">
        <f>#REF!</f>
        <v>#REF!</v>
      </c>
      <c r="Y90" s="516">
        <v>0</v>
      </c>
      <c r="Z90" s="516">
        <v>7.4999999999999997E-2</v>
      </c>
      <c r="AA90" s="440"/>
      <c r="AK90" s="441">
        <v>30</v>
      </c>
      <c r="AL90" s="436" t="str">
        <f t="shared" si="12"/>
        <v/>
      </c>
      <c r="AM90" s="514" t="e">
        <f t="shared" si="20"/>
        <v>#N/A</v>
      </c>
      <c r="AN90" s="514" t="e">
        <f t="shared" si="20"/>
        <v>#N/A</v>
      </c>
      <c r="AO90" s="514" t="e">
        <f t="shared" si="20"/>
        <v>#N/A</v>
      </c>
      <c r="AP90" s="513" t="e">
        <f t="shared" si="20"/>
        <v>#N/A</v>
      </c>
      <c r="AQ90" s="436" t="e">
        <f>NA()</f>
        <v>#N/A</v>
      </c>
      <c r="AR90" s="441"/>
      <c r="AU90" s="514" t="e">
        <f t="shared" si="16"/>
        <v>#N/A</v>
      </c>
      <c r="AV90" s="514" t="e">
        <f t="shared" si="21"/>
        <v>#N/A</v>
      </c>
      <c r="AW90" s="513" t="e">
        <f t="shared" si="21"/>
        <v>#N/A</v>
      </c>
    </row>
    <row r="91" spans="6:49" x14ac:dyDescent="0.25">
      <c r="F91" s="441"/>
      <c r="G91" s="515">
        <v>0.3</v>
      </c>
      <c r="H91" s="515">
        <v>0.47</v>
      </c>
      <c r="M91" s="440"/>
      <c r="W91" s="439" t="s">
        <v>66</v>
      </c>
      <c r="X91" s="519" t="e">
        <f>#REF!</f>
        <v>#REF!</v>
      </c>
      <c r="Y91" s="519">
        <v>0</v>
      </c>
      <c r="Z91" s="519">
        <v>0</v>
      </c>
      <c r="AA91" s="437"/>
      <c r="AK91" s="441">
        <v>31</v>
      </c>
      <c r="AL91" s="436" t="str">
        <f t="shared" si="12"/>
        <v/>
      </c>
      <c r="AM91" s="514" t="e">
        <f t="shared" si="20"/>
        <v>#N/A</v>
      </c>
      <c r="AN91" s="514" t="e">
        <f t="shared" si="20"/>
        <v>#N/A</v>
      </c>
      <c r="AO91" s="514" t="e">
        <f t="shared" si="20"/>
        <v>#N/A</v>
      </c>
      <c r="AP91" s="513" t="e">
        <f t="shared" si="20"/>
        <v>#N/A</v>
      </c>
      <c r="AQ91" s="436" t="e">
        <f>NA()</f>
        <v>#N/A</v>
      </c>
      <c r="AR91" s="441"/>
      <c r="AU91" s="514" t="e">
        <f t="shared" si="16"/>
        <v>#N/A</v>
      </c>
      <c r="AV91" s="514" t="e">
        <f t="shared" si="21"/>
        <v>#N/A</v>
      </c>
      <c r="AW91" s="513" t="e">
        <f t="shared" si="21"/>
        <v>#N/A</v>
      </c>
    </row>
    <row r="92" spans="6:49" x14ac:dyDescent="0.25">
      <c r="F92" s="441"/>
      <c r="G92" s="436" t="s">
        <v>110</v>
      </c>
      <c r="M92" s="440"/>
      <c r="AK92" s="441">
        <v>32</v>
      </c>
      <c r="AL92" s="436" t="str">
        <f t="shared" ref="AL92:AL123" si="22">IF(ISNA(VLOOKUP($AK92,$AK$43:$AP$56,AL$59,FALSE)),"",VLOOKUP($AK92,$AK$43:$AP$56,AL$59,FALSE))</f>
        <v/>
      </c>
      <c r="AM92" s="514" t="e">
        <f t="shared" si="20"/>
        <v>#N/A</v>
      </c>
      <c r="AN92" s="514" t="e">
        <f t="shared" si="20"/>
        <v>#N/A</v>
      </c>
      <c r="AO92" s="514" t="e">
        <f t="shared" si="20"/>
        <v>#N/A</v>
      </c>
      <c r="AP92" s="513" t="e">
        <f t="shared" si="20"/>
        <v>#N/A</v>
      </c>
      <c r="AQ92" s="436" t="e">
        <f>NA()</f>
        <v>#N/A</v>
      </c>
      <c r="AR92" s="441"/>
      <c r="AU92" s="514" t="e">
        <f t="shared" si="16"/>
        <v>#N/A</v>
      </c>
      <c r="AV92" s="514" t="e">
        <f t="shared" si="21"/>
        <v>#N/A</v>
      </c>
      <c r="AW92" s="513" t="e">
        <f t="shared" si="21"/>
        <v>#N/A</v>
      </c>
    </row>
    <row r="93" spans="6:49" x14ac:dyDescent="0.25">
      <c r="F93" s="441"/>
      <c r="G93" s="436" t="s">
        <v>109</v>
      </c>
      <c r="H93" s="436" t="s">
        <v>108</v>
      </c>
      <c r="I93" s="436" t="s">
        <v>107</v>
      </c>
      <c r="M93" s="440"/>
      <c r="AK93" s="441">
        <v>33</v>
      </c>
      <c r="AL93" s="436" t="str">
        <f t="shared" si="22"/>
        <v>No. 8</v>
      </c>
      <c r="AM93" s="514" t="e">
        <f t="shared" si="20"/>
        <v>#REF!</v>
      </c>
      <c r="AN93" s="514" t="e">
        <f t="shared" si="20"/>
        <v>#N/A</v>
      </c>
      <c r="AO93" s="514" t="e">
        <f t="shared" si="20"/>
        <v>#N/A</v>
      </c>
      <c r="AP93" s="513" t="e">
        <f t="shared" si="20"/>
        <v>#N/A</v>
      </c>
      <c r="AQ93" s="515">
        <f>AQ67</f>
        <v>1</v>
      </c>
      <c r="AR93" s="441"/>
      <c r="AU93" s="514" t="e">
        <f t="shared" ref="AU93:AU124" si="23">IF(ISBLANK(VLOOKUP($AK93,$AK$43:$AU$56,AU$59,FALSE)),NA(),VLOOKUP($AK93,$AK$43:$AU$56,AU$59,FALSE))</f>
        <v>#VALUE!</v>
      </c>
      <c r="AV93" s="514" t="str">
        <f t="shared" si="21"/>
        <v/>
      </c>
      <c r="AW93" s="513" t="str">
        <f t="shared" si="21"/>
        <v/>
      </c>
    </row>
    <row r="94" spans="6:49" x14ac:dyDescent="0.25">
      <c r="F94" s="441"/>
      <c r="G94" s="516" t="e">
        <f>G85</f>
        <v>#REF!</v>
      </c>
      <c r="H94" s="452" t="e">
        <f>G94*SLOPE(H90:H91,G90:G91)+INTERCEPT(H90:H91,G90:G91)</f>
        <v>#REF!</v>
      </c>
      <c r="I94" s="516" t="e">
        <f>I85</f>
        <v>#REF!</v>
      </c>
      <c r="M94" s="440"/>
      <c r="AK94" s="441">
        <v>34</v>
      </c>
      <c r="AL94" s="436" t="str">
        <f t="shared" si="22"/>
        <v/>
      </c>
      <c r="AM94" s="514" t="e">
        <f t="shared" si="20"/>
        <v>#N/A</v>
      </c>
      <c r="AN94" s="514" t="e">
        <f t="shared" si="20"/>
        <v>#N/A</v>
      </c>
      <c r="AO94" s="514" t="e">
        <f t="shared" si="20"/>
        <v>#N/A</v>
      </c>
      <c r="AP94" s="513" t="e">
        <f t="shared" si="20"/>
        <v>#N/A</v>
      </c>
      <c r="AQ94" s="436" t="e">
        <f>NA()</f>
        <v>#N/A</v>
      </c>
      <c r="AR94" s="441"/>
      <c r="AU94" s="514" t="e">
        <f t="shared" si="23"/>
        <v>#N/A</v>
      </c>
      <c r="AV94" s="514" t="e">
        <f t="shared" si="21"/>
        <v>#N/A</v>
      </c>
      <c r="AW94" s="513" t="e">
        <f t="shared" si="21"/>
        <v>#N/A</v>
      </c>
    </row>
    <row r="95" spans="6:49" x14ac:dyDescent="0.25">
      <c r="F95" s="441"/>
      <c r="I95" s="436" t="s">
        <v>133</v>
      </c>
      <c r="J95" s="436" t="e">
        <f>IF(I94&gt;=H94,TRUE,FALSE)</f>
        <v>#REF!</v>
      </c>
      <c r="M95" s="440"/>
      <c r="AK95" s="441">
        <v>35</v>
      </c>
      <c r="AL95" s="436" t="str">
        <f t="shared" si="22"/>
        <v/>
      </c>
      <c r="AM95" s="514" t="e">
        <f t="shared" si="20"/>
        <v>#N/A</v>
      </c>
      <c r="AN95" s="514" t="e">
        <f t="shared" si="20"/>
        <v>#N/A</v>
      </c>
      <c r="AO95" s="514" t="e">
        <f t="shared" si="20"/>
        <v>#N/A</v>
      </c>
      <c r="AP95" s="513" t="e">
        <f t="shared" si="20"/>
        <v>#N/A</v>
      </c>
      <c r="AQ95" s="436" t="e">
        <f>NA()</f>
        <v>#N/A</v>
      </c>
      <c r="AR95" s="441"/>
      <c r="AU95" s="514" t="e">
        <f t="shared" si="23"/>
        <v>#N/A</v>
      </c>
      <c r="AV95" s="514" t="e">
        <f t="shared" si="21"/>
        <v>#N/A</v>
      </c>
      <c r="AW95" s="513" t="e">
        <f t="shared" si="21"/>
        <v>#N/A</v>
      </c>
    </row>
    <row r="96" spans="6:49" x14ac:dyDescent="0.25">
      <c r="F96" s="441" t="s">
        <v>132</v>
      </c>
      <c r="M96" s="440"/>
      <c r="AK96" s="441">
        <v>36</v>
      </c>
      <c r="AL96" s="436" t="str">
        <f t="shared" si="22"/>
        <v/>
      </c>
      <c r="AM96" s="514" t="e">
        <f t="shared" si="20"/>
        <v>#N/A</v>
      </c>
      <c r="AN96" s="514" t="e">
        <f t="shared" si="20"/>
        <v>#N/A</v>
      </c>
      <c r="AO96" s="514" t="e">
        <f t="shared" si="20"/>
        <v>#N/A</v>
      </c>
      <c r="AP96" s="513" t="e">
        <f t="shared" si="20"/>
        <v>#N/A</v>
      </c>
      <c r="AQ96" s="436" t="e">
        <f>NA()</f>
        <v>#N/A</v>
      </c>
      <c r="AR96" s="441"/>
      <c r="AU96" s="514" t="e">
        <f t="shared" si="23"/>
        <v>#N/A</v>
      </c>
      <c r="AV96" s="514" t="e">
        <f t="shared" si="21"/>
        <v>#N/A</v>
      </c>
      <c r="AW96" s="513" t="e">
        <f t="shared" si="21"/>
        <v>#N/A</v>
      </c>
    </row>
    <row r="97" spans="6:49" x14ac:dyDescent="0.25">
      <c r="F97" s="441"/>
      <c r="G97" s="451" t="s">
        <v>131</v>
      </c>
      <c r="H97" s="436" t="e">
        <f>IF(OR(J86,J95),TRUE, FALSE)</f>
        <v>#REF!</v>
      </c>
      <c r="M97" s="440"/>
      <c r="AK97" s="441">
        <v>37</v>
      </c>
      <c r="AL97" s="436" t="str">
        <f t="shared" si="22"/>
        <v/>
      </c>
      <c r="AM97" s="514" t="e">
        <f t="shared" si="20"/>
        <v>#N/A</v>
      </c>
      <c r="AN97" s="514" t="e">
        <f t="shared" si="20"/>
        <v>#N/A</v>
      </c>
      <c r="AO97" s="514" t="e">
        <f t="shared" si="20"/>
        <v>#N/A</v>
      </c>
      <c r="AP97" s="513" t="e">
        <f t="shared" si="20"/>
        <v>#N/A</v>
      </c>
      <c r="AQ97" s="436" t="e">
        <f>NA()</f>
        <v>#N/A</v>
      </c>
      <c r="AR97" s="441"/>
      <c r="AU97" s="514" t="e">
        <f t="shared" si="23"/>
        <v>#N/A</v>
      </c>
      <c r="AV97" s="514" t="e">
        <f t="shared" si="21"/>
        <v>#N/A</v>
      </c>
      <c r="AW97" s="513" t="e">
        <f t="shared" si="21"/>
        <v>#N/A</v>
      </c>
    </row>
    <row r="98" spans="6:49" x14ac:dyDescent="0.25">
      <c r="F98" s="441"/>
      <c r="G98" s="451" t="s">
        <v>130</v>
      </c>
      <c r="H98" s="516" t="e">
        <f>G94</f>
        <v>#REF!</v>
      </c>
      <c r="M98" s="440"/>
      <c r="AK98" s="441">
        <v>38</v>
      </c>
      <c r="AL98" s="436" t="str">
        <f t="shared" si="22"/>
        <v/>
      </c>
      <c r="AM98" s="514" t="e">
        <f t="shared" si="20"/>
        <v>#N/A</v>
      </c>
      <c r="AN98" s="514" t="e">
        <f t="shared" si="20"/>
        <v>#N/A</v>
      </c>
      <c r="AO98" s="514" t="e">
        <f t="shared" si="20"/>
        <v>#N/A</v>
      </c>
      <c r="AP98" s="513" t="e">
        <f t="shared" si="20"/>
        <v>#N/A</v>
      </c>
      <c r="AQ98" s="436" t="e">
        <f>NA()</f>
        <v>#N/A</v>
      </c>
      <c r="AR98" s="441"/>
      <c r="AU98" s="514" t="e">
        <f t="shared" si="23"/>
        <v>#N/A</v>
      </c>
      <c r="AV98" s="514" t="e">
        <f t="shared" si="21"/>
        <v>#N/A</v>
      </c>
      <c r="AW98" s="513" t="e">
        <f t="shared" si="21"/>
        <v>#N/A</v>
      </c>
    </row>
    <row r="99" spans="6:49" x14ac:dyDescent="0.25">
      <c r="F99" s="441"/>
      <c r="G99" s="436" t="s">
        <v>129</v>
      </c>
      <c r="H99" s="436" t="s">
        <v>128</v>
      </c>
      <c r="M99" s="440"/>
      <c r="AK99" s="441">
        <v>39</v>
      </c>
      <c r="AL99" s="436" t="str">
        <f t="shared" si="22"/>
        <v/>
      </c>
      <c r="AM99" s="514" t="e">
        <f t="shared" si="20"/>
        <v>#N/A</v>
      </c>
      <c r="AN99" s="514" t="e">
        <f t="shared" si="20"/>
        <v>#N/A</v>
      </c>
      <c r="AO99" s="514" t="e">
        <f t="shared" si="20"/>
        <v>#N/A</v>
      </c>
      <c r="AP99" s="513" t="e">
        <f t="shared" si="20"/>
        <v>#N/A</v>
      </c>
      <c r="AQ99" s="436" t="e">
        <f>NA()</f>
        <v>#N/A</v>
      </c>
      <c r="AR99" s="441"/>
      <c r="AU99" s="514" t="e">
        <f t="shared" si="23"/>
        <v>#N/A</v>
      </c>
      <c r="AV99" s="514" t="e">
        <f t="shared" si="21"/>
        <v>#N/A</v>
      </c>
      <c r="AW99" s="513" t="e">
        <f t="shared" si="21"/>
        <v>#N/A</v>
      </c>
    </row>
    <row r="100" spans="6:49" x14ac:dyDescent="0.25">
      <c r="F100" s="441"/>
      <c r="G100" s="436">
        <v>1</v>
      </c>
      <c r="H100" s="515">
        <v>0.75</v>
      </c>
      <c r="I100" s="436" t="e">
        <f>IF(AND(NOT(H97),H98&gt;=H100),TRUE,FALSE)</f>
        <v>#REF!</v>
      </c>
      <c r="M100" s="440"/>
      <c r="AK100" s="441">
        <v>40</v>
      </c>
      <c r="AL100" s="436" t="str">
        <f t="shared" si="22"/>
        <v/>
      </c>
      <c r="AM100" s="514" t="e">
        <f t="shared" ref="AM100:AP119" si="24">IF(ISBLANK(VLOOKUP($AK100,$AK$43:$AP$56,AM$59,FALSE)),NA(),VLOOKUP($AK100,$AK$43:$AP$56,AM$59,FALSE))</f>
        <v>#N/A</v>
      </c>
      <c r="AN100" s="514" t="e">
        <f t="shared" si="24"/>
        <v>#N/A</v>
      </c>
      <c r="AO100" s="514" t="e">
        <f t="shared" si="24"/>
        <v>#N/A</v>
      </c>
      <c r="AP100" s="513" t="e">
        <f t="shared" si="24"/>
        <v>#N/A</v>
      </c>
      <c r="AQ100" s="436" t="e">
        <f>NA()</f>
        <v>#N/A</v>
      </c>
      <c r="AR100" s="441"/>
      <c r="AU100" s="514" t="e">
        <f t="shared" si="23"/>
        <v>#N/A</v>
      </c>
      <c r="AV100" s="514" t="e">
        <f t="shared" si="21"/>
        <v>#N/A</v>
      </c>
      <c r="AW100" s="513" t="e">
        <f t="shared" si="21"/>
        <v>#N/A</v>
      </c>
    </row>
    <row r="101" spans="6:49" x14ac:dyDescent="0.25">
      <c r="F101" s="441"/>
      <c r="G101" s="436">
        <v>2</v>
      </c>
      <c r="H101" s="515">
        <v>0.45</v>
      </c>
      <c r="I101" s="436" t="e">
        <f>IF(AND(NOT(H97),H98&gt;=H101,NOT(I100)),TRUE,FALSE)</f>
        <v>#REF!</v>
      </c>
      <c r="M101" s="440"/>
      <c r="AK101" s="441">
        <v>41</v>
      </c>
      <c r="AL101" s="436" t="str">
        <f t="shared" si="22"/>
        <v/>
      </c>
      <c r="AM101" s="514" t="e">
        <f t="shared" si="24"/>
        <v>#N/A</v>
      </c>
      <c r="AN101" s="514" t="e">
        <f t="shared" si="24"/>
        <v>#N/A</v>
      </c>
      <c r="AO101" s="514" t="e">
        <f t="shared" si="24"/>
        <v>#N/A</v>
      </c>
      <c r="AP101" s="513" t="e">
        <f t="shared" si="24"/>
        <v>#N/A</v>
      </c>
      <c r="AQ101" s="436" t="e">
        <f>NA()</f>
        <v>#N/A</v>
      </c>
      <c r="AR101" s="441"/>
      <c r="AU101" s="514" t="e">
        <f t="shared" si="23"/>
        <v>#N/A</v>
      </c>
      <c r="AV101" s="514" t="e">
        <f t="shared" ref="AV101:AW120" si="25">IF(ISBLANK(VLOOKUP($AK101,$AK$43:$AW$56,AV$59,FALSE)),NA(),VLOOKUP($AK101,$AK$43:$AW$56,AV$59,FALSE))</f>
        <v>#N/A</v>
      </c>
      <c r="AW101" s="513" t="e">
        <f t="shared" si="25"/>
        <v>#N/A</v>
      </c>
    </row>
    <row r="102" spans="6:49" x14ac:dyDescent="0.25">
      <c r="F102" s="441"/>
      <c r="G102" s="436">
        <v>3</v>
      </c>
      <c r="H102" s="515">
        <v>0</v>
      </c>
      <c r="I102" s="436" t="e">
        <f>IF(AND(NOT(H97),H98&gt;=H102,NOT(I101),NOT(I100)),TRUE,FALSE)</f>
        <v>#REF!</v>
      </c>
      <c r="M102" s="440"/>
      <c r="AK102" s="441">
        <v>42</v>
      </c>
      <c r="AL102" s="436" t="str">
        <f t="shared" si="22"/>
        <v/>
      </c>
      <c r="AM102" s="514" t="e">
        <f t="shared" si="24"/>
        <v>#N/A</v>
      </c>
      <c r="AN102" s="514" t="e">
        <f t="shared" si="24"/>
        <v>#N/A</v>
      </c>
      <c r="AO102" s="514" t="e">
        <f t="shared" si="24"/>
        <v>#N/A</v>
      </c>
      <c r="AP102" s="513" t="e">
        <f t="shared" si="24"/>
        <v>#N/A</v>
      </c>
      <c r="AQ102" s="436" t="e">
        <f>NA()</f>
        <v>#N/A</v>
      </c>
      <c r="AR102" s="441"/>
      <c r="AU102" s="514" t="e">
        <f t="shared" si="23"/>
        <v>#N/A</v>
      </c>
      <c r="AV102" s="514" t="e">
        <f t="shared" si="25"/>
        <v>#N/A</v>
      </c>
      <c r="AW102" s="513" t="e">
        <f t="shared" si="25"/>
        <v>#N/A</v>
      </c>
    </row>
    <row r="103" spans="6:49" x14ac:dyDescent="0.25">
      <c r="F103" s="441"/>
      <c r="M103" s="440"/>
      <c r="AK103" s="441">
        <v>43</v>
      </c>
      <c r="AL103" s="436" t="str">
        <f t="shared" si="22"/>
        <v/>
      </c>
      <c r="AM103" s="514" t="e">
        <f t="shared" si="24"/>
        <v>#N/A</v>
      </c>
      <c r="AN103" s="514" t="e">
        <f t="shared" si="24"/>
        <v>#N/A</v>
      </c>
      <c r="AO103" s="514" t="e">
        <f t="shared" si="24"/>
        <v>#N/A</v>
      </c>
      <c r="AP103" s="513" t="e">
        <f t="shared" si="24"/>
        <v>#N/A</v>
      </c>
      <c r="AQ103" s="436" t="e">
        <f>NA()</f>
        <v>#N/A</v>
      </c>
      <c r="AR103" s="441"/>
      <c r="AU103" s="514" t="e">
        <f t="shared" si="23"/>
        <v>#N/A</v>
      </c>
      <c r="AV103" s="514" t="e">
        <f t="shared" si="25"/>
        <v>#N/A</v>
      </c>
      <c r="AW103" s="513" t="e">
        <f t="shared" si="25"/>
        <v>#N/A</v>
      </c>
    </row>
    <row r="104" spans="6:49" x14ac:dyDescent="0.25">
      <c r="F104" s="441" t="e">
        <f>I100</f>
        <v>#REF!</v>
      </c>
      <c r="G104" s="436" t="s">
        <v>127</v>
      </c>
      <c r="H104" s="436" t="s">
        <v>126</v>
      </c>
      <c r="I104" s="436" t="str">
        <f>G104&amp;", "&amp;H104</f>
        <v>Zone I , Gap-graded and tends to segregate</v>
      </c>
      <c r="M104" s="440"/>
      <c r="AK104" s="441">
        <v>44</v>
      </c>
      <c r="AL104" s="436" t="str">
        <f t="shared" si="22"/>
        <v/>
      </c>
      <c r="AM104" s="514" t="e">
        <f t="shared" si="24"/>
        <v>#N/A</v>
      </c>
      <c r="AN104" s="514" t="e">
        <f t="shared" si="24"/>
        <v>#N/A</v>
      </c>
      <c r="AO104" s="514" t="e">
        <f t="shared" si="24"/>
        <v>#N/A</v>
      </c>
      <c r="AP104" s="513" t="e">
        <f t="shared" si="24"/>
        <v>#N/A</v>
      </c>
      <c r="AQ104" s="436" t="e">
        <f>NA()</f>
        <v>#N/A</v>
      </c>
      <c r="AR104" s="441"/>
      <c r="AU104" s="514" t="e">
        <f t="shared" si="23"/>
        <v>#N/A</v>
      </c>
      <c r="AV104" s="514" t="e">
        <f t="shared" si="25"/>
        <v>#N/A</v>
      </c>
      <c r="AW104" s="513" t="e">
        <f t="shared" si="25"/>
        <v>#N/A</v>
      </c>
    </row>
    <row r="105" spans="6:49" x14ac:dyDescent="0.25">
      <c r="F105" s="441" t="e">
        <f>I101</f>
        <v>#REF!</v>
      </c>
      <c r="G105" s="436" t="s">
        <v>125</v>
      </c>
      <c r="H105" s="436" t="s">
        <v>124</v>
      </c>
      <c r="I105" s="436" t="str">
        <f>G105&amp;", "&amp;H105</f>
        <v>Zone II, Well graded 1-1/2 to 3/4 in.</v>
      </c>
      <c r="M105" s="440"/>
      <c r="AK105" s="441">
        <v>45</v>
      </c>
      <c r="AL105" s="436" t="str">
        <f t="shared" si="22"/>
        <v>No. 4</v>
      </c>
      <c r="AM105" s="514" t="e">
        <f t="shared" si="24"/>
        <v>#REF!</v>
      </c>
      <c r="AN105" s="514" t="e">
        <f t="shared" si="24"/>
        <v>#N/A</v>
      </c>
      <c r="AO105" s="514" t="e">
        <f t="shared" si="24"/>
        <v>#N/A</v>
      </c>
      <c r="AP105" s="513" t="e">
        <f t="shared" si="24"/>
        <v>#N/A</v>
      </c>
      <c r="AQ105" s="515">
        <f>AQ67</f>
        <v>1</v>
      </c>
      <c r="AR105" s="441"/>
      <c r="AU105" s="514" t="e">
        <f t="shared" si="23"/>
        <v>#VALUE!</v>
      </c>
      <c r="AV105" s="514" t="str">
        <f t="shared" si="25"/>
        <v/>
      </c>
      <c r="AW105" s="513" t="str">
        <f t="shared" si="25"/>
        <v/>
      </c>
    </row>
    <row r="106" spans="6:49" x14ac:dyDescent="0.25">
      <c r="F106" s="441" t="e">
        <f>I102</f>
        <v>#REF!</v>
      </c>
      <c r="G106" s="436" t="s">
        <v>123</v>
      </c>
      <c r="H106" s="436" t="s">
        <v>122</v>
      </c>
      <c r="I106" s="436" t="str">
        <f>G106&amp;", "&amp;H106</f>
        <v>Zone III, Well Graded 3/4 in. and finer</v>
      </c>
      <c r="M106" s="440"/>
      <c r="AK106" s="441">
        <v>46</v>
      </c>
      <c r="AL106" s="436" t="str">
        <f t="shared" si="22"/>
        <v/>
      </c>
      <c r="AM106" s="514" t="e">
        <f t="shared" si="24"/>
        <v>#N/A</v>
      </c>
      <c r="AN106" s="514" t="e">
        <f t="shared" si="24"/>
        <v>#N/A</v>
      </c>
      <c r="AO106" s="514" t="e">
        <f t="shared" si="24"/>
        <v>#N/A</v>
      </c>
      <c r="AP106" s="513" t="e">
        <f t="shared" si="24"/>
        <v>#N/A</v>
      </c>
      <c r="AQ106" s="436" t="e">
        <f>NA()</f>
        <v>#N/A</v>
      </c>
      <c r="AR106" s="441"/>
      <c r="AU106" s="514" t="e">
        <f t="shared" si="23"/>
        <v>#N/A</v>
      </c>
      <c r="AV106" s="514" t="e">
        <f t="shared" si="25"/>
        <v>#N/A</v>
      </c>
      <c r="AW106" s="513" t="e">
        <f t="shared" si="25"/>
        <v>#N/A</v>
      </c>
    </row>
    <row r="107" spans="6:49" x14ac:dyDescent="0.25">
      <c r="F107" s="441" t="e">
        <f>J95</f>
        <v>#REF!</v>
      </c>
      <c r="G107" s="436" t="s">
        <v>121</v>
      </c>
      <c r="H107" s="436" t="s">
        <v>120</v>
      </c>
      <c r="I107" s="436" t="str">
        <f>G107&amp;", "&amp;H107</f>
        <v>Zone IV, Sticky</v>
      </c>
      <c r="M107" s="440"/>
      <c r="AK107" s="441">
        <v>47</v>
      </c>
      <c r="AL107" s="436" t="str">
        <f t="shared" si="22"/>
        <v/>
      </c>
      <c r="AM107" s="514" t="e">
        <f t="shared" si="24"/>
        <v>#N/A</v>
      </c>
      <c r="AN107" s="514" t="e">
        <f t="shared" si="24"/>
        <v>#N/A</v>
      </c>
      <c r="AO107" s="514" t="e">
        <f t="shared" si="24"/>
        <v>#N/A</v>
      </c>
      <c r="AP107" s="513" t="e">
        <f t="shared" si="24"/>
        <v>#N/A</v>
      </c>
      <c r="AQ107" s="436" t="e">
        <f>NA()</f>
        <v>#N/A</v>
      </c>
      <c r="AR107" s="441"/>
      <c r="AU107" s="514" t="e">
        <f t="shared" si="23"/>
        <v>#N/A</v>
      </c>
      <c r="AV107" s="514" t="e">
        <f t="shared" si="25"/>
        <v>#N/A</v>
      </c>
      <c r="AW107" s="513" t="e">
        <f t="shared" si="25"/>
        <v>#N/A</v>
      </c>
    </row>
    <row r="108" spans="6:49" x14ac:dyDescent="0.25">
      <c r="F108" s="441" t="e">
        <f>J86</f>
        <v>#REF!</v>
      </c>
      <c r="G108" s="436" t="s">
        <v>119</v>
      </c>
      <c r="H108" s="436" t="s">
        <v>118</v>
      </c>
      <c r="I108" s="436" t="str">
        <f>G108&amp;", "&amp;H108</f>
        <v>Zone V, Rocky</v>
      </c>
      <c r="M108" s="440"/>
      <c r="AK108" s="441">
        <v>48</v>
      </c>
      <c r="AL108" s="436" t="str">
        <f t="shared" si="22"/>
        <v/>
      </c>
      <c r="AM108" s="514" t="e">
        <f t="shared" si="24"/>
        <v>#N/A</v>
      </c>
      <c r="AN108" s="514" t="e">
        <f t="shared" si="24"/>
        <v>#N/A</v>
      </c>
      <c r="AO108" s="514" t="e">
        <f t="shared" si="24"/>
        <v>#N/A</v>
      </c>
      <c r="AP108" s="513" t="e">
        <f t="shared" si="24"/>
        <v>#N/A</v>
      </c>
      <c r="AQ108" s="436" t="e">
        <f>NA()</f>
        <v>#N/A</v>
      </c>
      <c r="AR108" s="441"/>
      <c r="AU108" s="514" t="e">
        <f t="shared" si="23"/>
        <v>#N/A</v>
      </c>
      <c r="AV108" s="514" t="e">
        <f t="shared" si="25"/>
        <v>#N/A</v>
      </c>
      <c r="AW108" s="513" t="e">
        <f t="shared" si="25"/>
        <v>#N/A</v>
      </c>
    </row>
    <row r="109" spans="6:49" x14ac:dyDescent="0.25">
      <c r="F109" s="439" t="e">
        <f>VLOOKUP(TRUE,F104:I108,4,FALSE)</f>
        <v>#N/A</v>
      </c>
      <c r="G109" s="438"/>
      <c r="H109" s="438"/>
      <c r="I109" s="438"/>
      <c r="J109" s="438"/>
      <c r="K109" s="438"/>
      <c r="L109" s="438"/>
      <c r="M109" s="437"/>
      <c r="AK109" s="441">
        <v>49</v>
      </c>
      <c r="AL109" s="436" t="str">
        <f t="shared" si="22"/>
        <v/>
      </c>
      <c r="AM109" s="514" t="e">
        <f t="shared" si="24"/>
        <v>#N/A</v>
      </c>
      <c r="AN109" s="514" t="e">
        <f t="shared" si="24"/>
        <v>#N/A</v>
      </c>
      <c r="AO109" s="514" t="e">
        <f t="shared" si="24"/>
        <v>#N/A</v>
      </c>
      <c r="AP109" s="513" t="e">
        <f t="shared" si="24"/>
        <v>#N/A</v>
      </c>
      <c r="AQ109" s="436" t="e">
        <f>NA()</f>
        <v>#N/A</v>
      </c>
      <c r="AR109" s="441"/>
      <c r="AU109" s="514" t="e">
        <f t="shared" si="23"/>
        <v>#N/A</v>
      </c>
      <c r="AV109" s="514" t="e">
        <f t="shared" si="25"/>
        <v>#N/A</v>
      </c>
      <c r="AW109" s="513" t="e">
        <f t="shared" si="25"/>
        <v>#N/A</v>
      </c>
    </row>
    <row r="110" spans="6:49" x14ac:dyDescent="0.25">
      <c r="F110" s="480" t="s">
        <v>117</v>
      </c>
      <c r="G110" s="463"/>
      <c r="H110" s="463"/>
      <c r="I110" s="463"/>
      <c r="J110" s="463"/>
      <c r="K110" s="463"/>
      <c r="L110" s="463"/>
      <c r="M110" s="462"/>
      <c r="AK110" s="441">
        <v>50</v>
      </c>
      <c r="AL110" s="436" t="str">
        <f t="shared" si="22"/>
        <v/>
      </c>
      <c r="AM110" s="514" t="e">
        <f t="shared" si="24"/>
        <v>#N/A</v>
      </c>
      <c r="AN110" s="514" t="e">
        <f t="shared" si="24"/>
        <v>#N/A</v>
      </c>
      <c r="AO110" s="514" t="e">
        <f t="shared" si="24"/>
        <v>#N/A</v>
      </c>
      <c r="AP110" s="513" t="e">
        <f t="shared" si="24"/>
        <v>#N/A</v>
      </c>
      <c r="AQ110" s="436" t="e">
        <f>NA()</f>
        <v>#N/A</v>
      </c>
      <c r="AR110" s="441"/>
      <c r="AU110" s="514" t="e">
        <f t="shared" si="23"/>
        <v>#N/A</v>
      </c>
      <c r="AV110" s="514" t="e">
        <f t="shared" si="25"/>
        <v>#N/A</v>
      </c>
      <c r="AW110" s="513" t="e">
        <f t="shared" si="25"/>
        <v>#N/A</v>
      </c>
    </row>
    <row r="111" spans="6:49" x14ac:dyDescent="0.25">
      <c r="F111" s="441" t="s">
        <v>116</v>
      </c>
      <c r="M111" s="440"/>
      <c r="AK111" s="441">
        <v>51</v>
      </c>
      <c r="AL111" s="436" t="str">
        <f t="shared" si="22"/>
        <v/>
      </c>
      <c r="AM111" s="514" t="e">
        <f t="shared" si="24"/>
        <v>#N/A</v>
      </c>
      <c r="AN111" s="514" t="e">
        <f t="shared" si="24"/>
        <v>#N/A</v>
      </c>
      <c r="AO111" s="514" t="e">
        <f t="shared" si="24"/>
        <v>#N/A</v>
      </c>
      <c r="AP111" s="513" t="e">
        <f t="shared" si="24"/>
        <v>#N/A</v>
      </c>
      <c r="AQ111" s="436" t="e">
        <f>NA()</f>
        <v>#N/A</v>
      </c>
      <c r="AR111" s="441"/>
      <c r="AU111" s="514" t="e">
        <f t="shared" si="23"/>
        <v>#N/A</v>
      </c>
      <c r="AV111" s="514" t="e">
        <f t="shared" si="25"/>
        <v>#N/A</v>
      </c>
      <c r="AW111" s="513" t="e">
        <f t="shared" si="25"/>
        <v>#N/A</v>
      </c>
    </row>
    <row r="112" spans="6:49" x14ac:dyDescent="0.25">
      <c r="F112" s="441"/>
      <c r="G112" s="436" t="s">
        <v>113</v>
      </c>
      <c r="M112" s="440"/>
      <c r="AK112" s="441">
        <v>52</v>
      </c>
      <c r="AL112" s="436" t="str">
        <f t="shared" si="22"/>
        <v/>
      </c>
      <c r="AM112" s="514" t="e">
        <f t="shared" si="24"/>
        <v>#N/A</v>
      </c>
      <c r="AN112" s="514" t="e">
        <f t="shared" si="24"/>
        <v>#N/A</v>
      </c>
      <c r="AO112" s="514" t="e">
        <f t="shared" si="24"/>
        <v>#N/A</v>
      </c>
      <c r="AP112" s="513" t="e">
        <f t="shared" si="24"/>
        <v>#N/A</v>
      </c>
      <c r="AQ112" s="436" t="e">
        <f>NA()</f>
        <v>#N/A</v>
      </c>
      <c r="AR112" s="441"/>
      <c r="AU112" s="514" t="e">
        <f t="shared" si="23"/>
        <v>#N/A</v>
      </c>
      <c r="AV112" s="514" t="e">
        <f t="shared" si="25"/>
        <v>#N/A</v>
      </c>
      <c r="AW112" s="513" t="e">
        <f t="shared" si="25"/>
        <v>#N/A</v>
      </c>
    </row>
    <row r="113" spans="6:49" x14ac:dyDescent="0.25">
      <c r="F113" s="441"/>
      <c r="G113" s="436" t="s">
        <v>112</v>
      </c>
      <c r="H113" s="436" t="s">
        <v>111</v>
      </c>
      <c r="M113" s="440"/>
      <c r="AK113" s="441">
        <v>53</v>
      </c>
      <c r="AL113" s="436" t="str">
        <f t="shared" si="22"/>
        <v/>
      </c>
      <c r="AM113" s="514" t="e">
        <f t="shared" si="24"/>
        <v>#N/A</v>
      </c>
      <c r="AN113" s="514" t="e">
        <f t="shared" si="24"/>
        <v>#N/A</v>
      </c>
      <c r="AO113" s="514" t="e">
        <f t="shared" si="24"/>
        <v>#N/A</v>
      </c>
      <c r="AP113" s="513" t="e">
        <f t="shared" si="24"/>
        <v>#N/A</v>
      </c>
      <c r="AQ113" s="436" t="e">
        <f>NA()</f>
        <v>#N/A</v>
      </c>
      <c r="AR113" s="441"/>
      <c r="AU113" s="514" t="e">
        <f t="shared" si="23"/>
        <v>#N/A</v>
      </c>
      <c r="AV113" s="514" t="e">
        <f t="shared" si="25"/>
        <v>#N/A</v>
      </c>
      <c r="AW113" s="513" t="e">
        <f t="shared" si="25"/>
        <v>#N/A</v>
      </c>
    </row>
    <row r="114" spans="6:49" x14ac:dyDescent="0.25">
      <c r="F114" s="441"/>
      <c r="G114" s="518">
        <v>0.68</v>
      </c>
      <c r="H114" s="517">
        <v>0.32</v>
      </c>
      <c r="M114" s="440"/>
      <c r="AK114" s="441">
        <v>54</v>
      </c>
      <c r="AL114" s="436" t="str">
        <f t="shared" si="22"/>
        <v/>
      </c>
      <c r="AM114" s="514" t="e">
        <f t="shared" si="24"/>
        <v>#N/A</v>
      </c>
      <c r="AN114" s="514" t="e">
        <f t="shared" si="24"/>
        <v>#N/A</v>
      </c>
      <c r="AO114" s="514" t="e">
        <f t="shared" si="24"/>
        <v>#N/A</v>
      </c>
      <c r="AP114" s="513" t="e">
        <f t="shared" si="24"/>
        <v>#N/A</v>
      </c>
      <c r="AQ114" s="436" t="e">
        <f>NA()</f>
        <v>#N/A</v>
      </c>
      <c r="AR114" s="441"/>
      <c r="AU114" s="514" t="e">
        <f t="shared" si="23"/>
        <v>#N/A</v>
      </c>
      <c r="AV114" s="514" t="e">
        <f t="shared" si="25"/>
        <v>#N/A</v>
      </c>
      <c r="AW114" s="513" t="e">
        <f t="shared" si="25"/>
        <v>#N/A</v>
      </c>
    </row>
    <row r="115" spans="6:49" x14ac:dyDescent="0.25">
      <c r="F115" s="441"/>
      <c r="G115" s="518">
        <v>0.52</v>
      </c>
      <c r="H115" s="517">
        <v>0.34</v>
      </c>
      <c r="M115" s="440"/>
      <c r="AK115" s="441">
        <v>55</v>
      </c>
      <c r="AL115" s="436" t="str">
        <f t="shared" si="22"/>
        <v/>
      </c>
      <c r="AM115" s="514" t="e">
        <f t="shared" si="24"/>
        <v>#N/A</v>
      </c>
      <c r="AN115" s="514" t="e">
        <f t="shared" si="24"/>
        <v>#N/A</v>
      </c>
      <c r="AO115" s="514" t="e">
        <f t="shared" si="24"/>
        <v>#N/A</v>
      </c>
      <c r="AP115" s="513" t="e">
        <f t="shared" si="24"/>
        <v>#N/A</v>
      </c>
      <c r="AQ115" s="436" t="e">
        <f>NA()</f>
        <v>#N/A</v>
      </c>
      <c r="AR115" s="441"/>
      <c r="AU115" s="514" t="e">
        <f t="shared" si="23"/>
        <v>#N/A</v>
      </c>
      <c r="AV115" s="514" t="e">
        <f t="shared" si="25"/>
        <v>#N/A</v>
      </c>
      <c r="AW115" s="513" t="e">
        <f t="shared" si="25"/>
        <v>#N/A</v>
      </c>
    </row>
    <row r="116" spans="6:49" x14ac:dyDescent="0.25">
      <c r="F116" s="441"/>
      <c r="G116" s="436" t="s">
        <v>110</v>
      </c>
      <c r="M116" s="440"/>
      <c r="AK116" s="441">
        <v>56</v>
      </c>
      <c r="AL116" s="436" t="str">
        <f t="shared" si="22"/>
        <v/>
      </c>
      <c r="AM116" s="514" t="e">
        <f t="shared" si="24"/>
        <v>#N/A</v>
      </c>
      <c r="AN116" s="514" t="e">
        <f t="shared" si="24"/>
        <v>#N/A</v>
      </c>
      <c r="AO116" s="514" t="e">
        <f t="shared" si="24"/>
        <v>#N/A</v>
      </c>
      <c r="AP116" s="513" t="e">
        <f t="shared" si="24"/>
        <v>#N/A</v>
      </c>
      <c r="AQ116" s="436" t="e">
        <f>NA()</f>
        <v>#N/A</v>
      </c>
      <c r="AR116" s="441"/>
      <c r="AU116" s="514" t="e">
        <f t="shared" si="23"/>
        <v>#N/A</v>
      </c>
      <c r="AV116" s="514" t="e">
        <f t="shared" si="25"/>
        <v>#N/A</v>
      </c>
      <c r="AW116" s="513" t="e">
        <f t="shared" si="25"/>
        <v>#N/A</v>
      </c>
    </row>
    <row r="117" spans="6:49" x14ac:dyDescent="0.25">
      <c r="F117" s="441"/>
      <c r="G117" s="436" t="s">
        <v>109</v>
      </c>
      <c r="H117" s="436" t="s">
        <v>108</v>
      </c>
      <c r="I117" s="436" t="s">
        <v>107</v>
      </c>
      <c r="M117" s="440"/>
      <c r="AK117" s="441">
        <v>57</v>
      </c>
      <c r="AL117" s="436" t="str">
        <f t="shared" si="22"/>
        <v/>
      </c>
      <c r="AM117" s="514" t="e">
        <f t="shared" si="24"/>
        <v>#N/A</v>
      </c>
      <c r="AN117" s="514" t="e">
        <f t="shared" si="24"/>
        <v>#N/A</v>
      </c>
      <c r="AO117" s="514" t="e">
        <f t="shared" si="24"/>
        <v>#N/A</v>
      </c>
      <c r="AP117" s="513" t="e">
        <f t="shared" si="24"/>
        <v>#N/A</v>
      </c>
      <c r="AQ117" s="436" t="e">
        <f>NA()</f>
        <v>#N/A</v>
      </c>
      <c r="AR117" s="441"/>
      <c r="AU117" s="514" t="e">
        <f t="shared" si="23"/>
        <v>#N/A</v>
      </c>
      <c r="AV117" s="514" t="e">
        <f t="shared" si="25"/>
        <v>#N/A</v>
      </c>
      <c r="AW117" s="513" t="e">
        <f t="shared" si="25"/>
        <v>#N/A</v>
      </c>
    </row>
    <row r="118" spans="6:49" x14ac:dyDescent="0.25">
      <c r="F118" s="441"/>
      <c r="G118" s="516" t="e">
        <f>J58</f>
        <v>#REF!</v>
      </c>
      <c r="H118" s="452" t="e">
        <f>G118*SLOPE(H114:H115,G114:G115)+INTERCEPT(H114:H115,G114:G115)</f>
        <v>#REF!</v>
      </c>
      <c r="I118" s="516" t="e">
        <f>J61</f>
        <v>#REF!</v>
      </c>
      <c r="M118" s="440"/>
      <c r="AK118" s="441">
        <v>58</v>
      </c>
      <c r="AL118" s="436" t="str">
        <f t="shared" si="22"/>
        <v/>
      </c>
      <c r="AM118" s="514" t="e">
        <f t="shared" si="24"/>
        <v>#N/A</v>
      </c>
      <c r="AN118" s="514" t="e">
        <f t="shared" si="24"/>
        <v>#N/A</v>
      </c>
      <c r="AO118" s="514" t="e">
        <f t="shared" si="24"/>
        <v>#N/A</v>
      </c>
      <c r="AP118" s="513" t="e">
        <f t="shared" si="24"/>
        <v>#N/A</v>
      </c>
      <c r="AQ118" s="436" t="e">
        <f>NA()</f>
        <v>#N/A</v>
      </c>
      <c r="AR118" s="441"/>
      <c r="AU118" s="514" t="e">
        <f t="shared" si="23"/>
        <v>#N/A</v>
      </c>
      <c r="AV118" s="514" t="e">
        <f t="shared" si="25"/>
        <v>#N/A</v>
      </c>
      <c r="AW118" s="513" t="e">
        <f t="shared" si="25"/>
        <v>#N/A</v>
      </c>
    </row>
    <row r="119" spans="6:49" x14ac:dyDescent="0.25">
      <c r="F119" s="441"/>
      <c r="I119" s="451" t="s">
        <v>115</v>
      </c>
      <c r="J119" s="436" t="e">
        <f>IF(H118&lt;=I118,TRUE,FALSE)</f>
        <v>#REF!</v>
      </c>
      <c r="M119" s="440"/>
      <c r="AK119" s="441">
        <v>59</v>
      </c>
      <c r="AL119" s="436" t="str">
        <f t="shared" si="22"/>
        <v/>
      </c>
      <c r="AM119" s="514" t="e">
        <f t="shared" si="24"/>
        <v>#N/A</v>
      </c>
      <c r="AN119" s="514" t="e">
        <f t="shared" si="24"/>
        <v>#N/A</v>
      </c>
      <c r="AO119" s="514" t="e">
        <f t="shared" si="24"/>
        <v>#N/A</v>
      </c>
      <c r="AP119" s="513" t="e">
        <f t="shared" si="24"/>
        <v>#N/A</v>
      </c>
      <c r="AQ119" s="436" t="e">
        <f>NA()</f>
        <v>#N/A</v>
      </c>
      <c r="AR119" s="441"/>
      <c r="AU119" s="514" t="e">
        <f t="shared" si="23"/>
        <v>#N/A</v>
      </c>
      <c r="AV119" s="514" t="e">
        <f t="shared" si="25"/>
        <v>#N/A</v>
      </c>
      <c r="AW119" s="513" t="e">
        <f t="shared" si="25"/>
        <v>#N/A</v>
      </c>
    </row>
    <row r="120" spans="6:49" x14ac:dyDescent="0.25">
      <c r="F120" s="441" t="s">
        <v>114</v>
      </c>
      <c r="M120" s="440"/>
      <c r="AK120" s="441">
        <v>60</v>
      </c>
      <c r="AL120" s="436" t="str">
        <f t="shared" si="22"/>
        <v/>
      </c>
      <c r="AM120" s="514" t="e">
        <f t="shared" ref="AM120:AP139" si="26">IF(ISBLANK(VLOOKUP($AK120,$AK$43:$AP$56,AM$59,FALSE)),NA(),VLOOKUP($AK120,$AK$43:$AP$56,AM$59,FALSE))</f>
        <v>#N/A</v>
      </c>
      <c r="AN120" s="514" t="e">
        <f t="shared" si="26"/>
        <v>#N/A</v>
      </c>
      <c r="AO120" s="514" t="e">
        <f t="shared" si="26"/>
        <v>#N/A</v>
      </c>
      <c r="AP120" s="513" t="e">
        <f t="shared" si="26"/>
        <v>#N/A</v>
      </c>
      <c r="AQ120" s="436" t="e">
        <f>NA()</f>
        <v>#N/A</v>
      </c>
      <c r="AR120" s="441"/>
      <c r="AU120" s="514" t="e">
        <f t="shared" si="23"/>
        <v>#N/A</v>
      </c>
      <c r="AV120" s="514" t="e">
        <f t="shared" si="25"/>
        <v>#N/A</v>
      </c>
      <c r="AW120" s="513" t="e">
        <f t="shared" si="25"/>
        <v>#N/A</v>
      </c>
    </row>
    <row r="121" spans="6:49" x14ac:dyDescent="0.25">
      <c r="F121" s="441"/>
      <c r="G121" s="436" t="s">
        <v>113</v>
      </c>
      <c r="M121" s="440"/>
      <c r="AK121" s="441">
        <v>61</v>
      </c>
      <c r="AL121" s="436" t="str">
        <f t="shared" si="22"/>
        <v/>
      </c>
      <c r="AM121" s="514" t="e">
        <f t="shared" si="26"/>
        <v>#N/A</v>
      </c>
      <c r="AN121" s="514" t="e">
        <f t="shared" si="26"/>
        <v>#N/A</v>
      </c>
      <c r="AO121" s="514" t="e">
        <f t="shared" si="26"/>
        <v>#N/A</v>
      </c>
      <c r="AP121" s="513" t="e">
        <f t="shared" si="26"/>
        <v>#N/A</v>
      </c>
      <c r="AQ121" s="436" t="e">
        <f>NA()</f>
        <v>#N/A</v>
      </c>
      <c r="AR121" s="441"/>
      <c r="AU121" s="514" t="e">
        <f t="shared" si="23"/>
        <v>#N/A</v>
      </c>
      <c r="AV121" s="514" t="e">
        <f t="shared" ref="AV121:AW140" si="27">IF(ISBLANK(VLOOKUP($AK121,$AK$43:$AW$56,AV$59,FALSE)),NA(),VLOOKUP($AK121,$AK$43:$AW$56,AV$59,FALSE))</f>
        <v>#N/A</v>
      </c>
      <c r="AW121" s="513" t="e">
        <f t="shared" si="27"/>
        <v>#N/A</v>
      </c>
    </row>
    <row r="122" spans="6:49" x14ac:dyDescent="0.25">
      <c r="F122" s="441"/>
      <c r="G122" s="436" t="s">
        <v>112</v>
      </c>
      <c r="H122" s="436" t="s">
        <v>111</v>
      </c>
      <c r="M122" s="440"/>
      <c r="AK122" s="441">
        <v>62</v>
      </c>
      <c r="AL122" s="436" t="str">
        <f t="shared" si="22"/>
        <v>3/8 in.</v>
      </c>
      <c r="AM122" s="514" t="e">
        <f t="shared" si="26"/>
        <v>#REF!</v>
      </c>
      <c r="AN122" s="514" t="e">
        <f t="shared" si="26"/>
        <v>#N/A</v>
      </c>
      <c r="AO122" s="514" t="e">
        <f t="shared" si="26"/>
        <v>#N/A</v>
      </c>
      <c r="AP122" s="513" t="e">
        <f t="shared" si="26"/>
        <v>#N/A</v>
      </c>
      <c r="AQ122" s="515">
        <f>AQ67</f>
        <v>1</v>
      </c>
      <c r="AR122" s="441"/>
      <c r="AU122" s="514" t="e">
        <f t="shared" si="23"/>
        <v>#VALUE!</v>
      </c>
      <c r="AV122" s="514" t="str">
        <f t="shared" si="27"/>
        <v/>
      </c>
      <c r="AW122" s="513" t="str">
        <f t="shared" si="27"/>
        <v/>
      </c>
    </row>
    <row r="123" spans="6:49" x14ac:dyDescent="0.25">
      <c r="F123" s="441"/>
      <c r="G123" s="518">
        <v>0.52</v>
      </c>
      <c r="H123" s="517">
        <v>0.38</v>
      </c>
      <c r="M123" s="440"/>
      <c r="AK123" s="441">
        <v>63</v>
      </c>
      <c r="AL123" s="436" t="str">
        <f t="shared" si="22"/>
        <v/>
      </c>
      <c r="AM123" s="514" t="e">
        <f t="shared" si="26"/>
        <v>#N/A</v>
      </c>
      <c r="AN123" s="514" t="e">
        <f t="shared" si="26"/>
        <v>#N/A</v>
      </c>
      <c r="AO123" s="514" t="e">
        <f t="shared" si="26"/>
        <v>#N/A</v>
      </c>
      <c r="AP123" s="513" t="e">
        <f t="shared" si="26"/>
        <v>#N/A</v>
      </c>
      <c r="AQ123" s="436" t="e">
        <f>NA()</f>
        <v>#N/A</v>
      </c>
      <c r="AR123" s="441"/>
      <c r="AU123" s="514" t="e">
        <f t="shared" si="23"/>
        <v>#N/A</v>
      </c>
      <c r="AV123" s="514" t="e">
        <f t="shared" si="27"/>
        <v>#N/A</v>
      </c>
      <c r="AW123" s="513" t="e">
        <f t="shared" si="27"/>
        <v>#N/A</v>
      </c>
    </row>
    <row r="124" spans="6:49" x14ac:dyDescent="0.25">
      <c r="F124" s="441"/>
      <c r="G124" s="518">
        <v>0.68</v>
      </c>
      <c r="H124" s="517">
        <v>0.36</v>
      </c>
      <c r="M124" s="440"/>
      <c r="AK124" s="441">
        <v>64</v>
      </c>
      <c r="AL124" s="436" t="str">
        <f t="shared" ref="AL124:AL155" si="28">IF(ISNA(VLOOKUP($AK124,$AK$43:$AP$56,AL$59,FALSE)),"",VLOOKUP($AK124,$AK$43:$AP$56,AL$59,FALSE))</f>
        <v/>
      </c>
      <c r="AM124" s="514" t="e">
        <f t="shared" si="26"/>
        <v>#N/A</v>
      </c>
      <c r="AN124" s="514" t="e">
        <f t="shared" si="26"/>
        <v>#N/A</v>
      </c>
      <c r="AO124" s="514" t="e">
        <f t="shared" si="26"/>
        <v>#N/A</v>
      </c>
      <c r="AP124" s="513" t="e">
        <f t="shared" si="26"/>
        <v>#N/A</v>
      </c>
      <c r="AQ124" s="436" t="e">
        <f>NA()</f>
        <v>#N/A</v>
      </c>
      <c r="AR124" s="441"/>
      <c r="AU124" s="514" t="e">
        <f t="shared" si="23"/>
        <v>#N/A</v>
      </c>
      <c r="AV124" s="514" t="e">
        <f t="shared" si="27"/>
        <v>#N/A</v>
      </c>
      <c r="AW124" s="513" t="e">
        <f t="shared" si="27"/>
        <v>#N/A</v>
      </c>
    </row>
    <row r="125" spans="6:49" x14ac:dyDescent="0.25">
      <c r="F125" s="441"/>
      <c r="G125" s="436" t="s">
        <v>110</v>
      </c>
      <c r="M125" s="440"/>
      <c r="AK125" s="441">
        <v>65</v>
      </c>
      <c r="AL125" s="436" t="str">
        <f t="shared" si="28"/>
        <v/>
      </c>
      <c r="AM125" s="514" t="e">
        <f t="shared" si="26"/>
        <v>#N/A</v>
      </c>
      <c r="AN125" s="514" t="e">
        <f t="shared" si="26"/>
        <v>#N/A</v>
      </c>
      <c r="AO125" s="514" t="e">
        <f t="shared" si="26"/>
        <v>#N/A</v>
      </c>
      <c r="AP125" s="513" t="e">
        <f t="shared" si="26"/>
        <v>#N/A</v>
      </c>
      <c r="AQ125" s="436" t="e">
        <f>NA()</f>
        <v>#N/A</v>
      </c>
      <c r="AR125" s="441"/>
      <c r="AU125" s="514" t="e">
        <f t="shared" ref="AU125:AU156" si="29">IF(ISBLANK(VLOOKUP($AK125,$AK$43:$AU$56,AU$59,FALSE)),NA(),VLOOKUP($AK125,$AK$43:$AU$56,AU$59,FALSE))</f>
        <v>#N/A</v>
      </c>
      <c r="AV125" s="514" t="e">
        <f t="shared" si="27"/>
        <v>#N/A</v>
      </c>
      <c r="AW125" s="513" t="e">
        <f t="shared" si="27"/>
        <v>#N/A</v>
      </c>
    </row>
    <row r="126" spans="6:49" x14ac:dyDescent="0.25">
      <c r="F126" s="441"/>
      <c r="G126" s="436" t="s">
        <v>109</v>
      </c>
      <c r="H126" s="436" t="s">
        <v>108</v>
      </c>
      <c r="I126" s="436" t="s">
        <v>107</v>
      </c>
      <c r="M126" s="440"/>
      <c r="AK126" s="441">
        <v>66</v>
      </c>
      <c r="AL126" s="436" t="str">
        <f t="shared" si="28"/>
        <v/>
      </c>
      <c r="AM126" s="514" t="e">
        <f t="shared" si="26"/>
        <v>#N/A</v>
      </c>
      <c r="AN126" s="514" t="e">
        <f t="shared" si="26"/>
        <v>#N/A</v>
      </c>
      <c r="AO126" s="514" t="e">
        <f t="shared" si="26"/>
        <v>#N/A</v>
      </c>
      <c r="AP126" s="513" t="e">
        <f t="shared" si="26"/>
        <v>#N/A</v>
      </c>
      <c r="AQ126" s="436" t="e">
        <f>NA()</f>
        <v>#N/A</v>
      </c>
      <c r="AR126" s="441"/>
      <c r="AU126" s="514" t="e">
        <f t="shared" si="29"/>
        <v>#N/A</v>
      </c>
      <c r="AV126" s="514" t="e">
        <f t="shared" si="27"/>
        <v>#N/A</v>
      </c>
      <c r="AW126" s="513" t="e">
        <f t="shared" si="27"/>
        <v>#N/A</v>
      </c>
    </row>
    <row r="127" spans="6:49" x14ac:dyDescent="0.25">
      <c r="F127" s="441"/>
      <c r="G127" s="516" t="e">
        <f>G118</f>
        <v>#REF!</v>
      </c>
      <c r="H127" s="452" t="e">
        <f>G127*SLOPE(H123:H124,G123:G124)+INTERCEPT(H123:H124,G123:G124)</f>
        <v>#REF!</v>
      </c>
      <c r="I127" s="516" t="e">
        <f>I118</f>
        <v>#REF!</v>
      </c>
      <c r="M127" s="440"/>
      <c r="AK127" s="441">
        <v>67</v>
      </c>
      <c r="AL127" s="436" t="str">
        <f t="shared" si="28"/>
        <v/>
      </c>
      <c r="AM127" s="514" t="e">
        <f t="shared" si="26"/>
        <v>#N/A</v>
      </c>
      <c r="AN127" s="514" t="e">
        <f t="shared" si="26"/>
        <v>#N/A</v>
      </c>
      <c r="AO127" s="514" t="e">
        <f t="shared" si="26"/>
        <v>#N/A</v>
      </c>
      <c r="AP127" s="513" t="e">
        <f t="shared" si="26"/>
        <v>#N/A</v>
      </c>
      <c r="AQ127" s="436" t="e">
        <f>NA()</f>
        <v>#N/A</v>
      </c>
      <c r="AR127" s="441"/>
      <c r="AU127" s="514" t="e">
        <f t="shared" si="29"/>
        <v>#N/A</v>
      </c>
      <c r="AV127" s="514" t="e">
        <f t="shared" si="27"/>
        <v>#N/A</v>
      </c>
      <c r="AW127" s="513" t="e">
        <f t="shared" si="27"/>
        <v>#N/A</v>
      </c>
    </row>
    <row r="128" spans="6:49" x14ac:dyDescent="0.25">
      <c r="F128" s="441"/>
      <c r="I128" s="451" t="s">
        <v>106</v>
      </c>
      <c r="J128" s="436" t="e">
        <f>IF(H127&gt;=I127,TRUE,FALSE)</f>
        <v>#REF!</v>
      </c>
      <c r="M128" s="440"/>
      <c r="AK128" s="441">
        <v>68</v>
      </c>
      <c r="AL128" s="436" t="str">
        <f t="shared" si="28"/>
        <v/>
      </c>
      <c r="AM128" s="514" t="e">
        <f t="shared" si="26"/>
        <v>#N/A</v>
      </c>
      <c r="AN128" s="514" t="e">
        <f t="shared" si="26"/>
        <v>#N/A</v>
      </c>
      <c r="AO128" s="514" t="e">
        <f t="shared" si="26"/>
        <v>#N/A</v>
      </c>
      <c r="AP128" s="513" t="e">
        <f t="shared" si="26"/>
        <v>#N/A</v>
      </c>
      <c r="AQ128" s="436" t="e">
        <f>NA()</f>
        <v>#N/A</v>
      </c>
      <c r="AR128" s="441"/>
      <c r="AU128" s="514" t="e">
        <f t="shared" si="29"/>
        <v>#N/A</v>
      </c>
      <c r="AV128" s="514" t="e">
        <f t="shared" si="27"/>
        <v>#N/A</v>
      </c>
      <c r="AW128" s="513" t="e">
        <f t="shared" si="27"/>
        <v>#N/A</v>
      </c>
    </row>
    <row r="129" spans="6:49" x14ac:dyDescent="0.25">
      <c r="F129" s="441" t="s">
        <v>105</v>
      </c>
      <c r="M129" s="440"/>
      <c r="AK129" s="441">
        <v>69</v>
      </c>
      <c r="AL129" s="436" t="str">
        <f t="shared" si="28"/>
        <v/>
      </c>
      <c r="AM129" s="514" t="e">
        <f t="shared" si="26"/>
        <v>#N/A</v>
      </c>
      <c r="AN129" s="514" t="e">
        <f t="shared" si="26"/>
        <v>#N/A</v>
      </c>
      <c r="AO129" s="514" t="e">
        <f t="shared" si="26"/>
        <v>#N/A</v>
      </c>
      <c r="AP129" s="513" t="e">
        <f t="shared" si="26"/>
        <v>#N/A</v>
      </c>
      <c r="AQ129" s="436" t="e">
        <f>NA()</f>
        <v>#N/A</v>
      </c>
      <c r="AR129" s="441"/>
      <c r="AU129" s="514" t="e">
        <f t="shared" si="29"/>
        <v>#N/A</v>
      </c>
      <c r="AV129" s="514" t="e">
        <f t="shared" si="27"/>
        <v>#N/A</v>
      </c>
      <c r="AW129" s="513" t="e">
        <f t="shared" si="27"/>
        <v>#N/A</v>
      </c>
    </row>
    <row r="130" spans="6:49" x14ac:dyDescent="0.25">
      <c r="F130" s="441"/>
      <c r="I130" s="457" t="s">
        <v>104</v>
      </c>
      <c r="M130" s="440"/>
      <c r="AK130" s="441">
        <v>70</v>
      </c>
      <c r="AL130" s="436" t="str">
        <f t="shared" si="28"/>
        <v>1/2 in.</v>
      </c>
      <c r="AM130" s="514" t="e">
        <f t="shared" si="26"/>
        <v>#REF!</v>
      </c>
      <c r="AN130" s="514" t="e">
        <f t="shared" si="26"/>
        <v>#N/A</v>
      </c>
      <c r="AO130" s="514" t="e">
        <f t="shared" si="26"/>
        <v>#N/A</v>
      </c>
      <c r="AP130" s="513" t="e">
        <f t="shared" si="26"/>
        <v>#N/A</v>
      </c>
      <c r="AQ130" s="515">
        <f>AQ67</f>
        <v>1</v>
      </c>
      <c r="AR130" s="441"/>
      <c r="AU130" s="514" t="e">
        <f t="shared" si="29"/>
        <v>#VALUE!</v>
      </c>
      <c r="AV130" s="514" t="str">
        <f t="shared" si="27"/>
        <v/>
      </c>
      <c r="AW130" s="513" t="str">
        <f t="shared" si="27"/>
        <v/>
      </c>
    </row>
    <row r="131" spans="6:49" x14ac:dyDescent="0.25">
      <c r="F131" s="441"/>
      <c r="G131" s="451" t="s">
        <v>103</v>
      </c>
      <c r="H131" s="515">
        <f>G114</f>
        <v>0.68</v>
      </c>
      <c r="I131" s="436" t="e">
        <f>IF(G127&lt;=H131,TRUE,FALSE)</f>
        <v>#REF!</v>
      </c>
      <c r="M131" s="440"/>
      <c r="AK131" s="441">
        <v>71</v>
      </c>
      <c r="AL131" s="436" t="str">
        <f t="shared" si="28"/>
        <v/>
      </c>
      <c r="AM131" s="514" t="e">
        <f t="shared" si="26"/>
        <v>#N/A</v>
      </c>
      <c r="AN131" s="514" t="e">
        <f t="shared" si="26"/>
        <v>#N/A</v>
      </c>
      <c r="AO131" s="514" t="e">
        <f t="shared" si="26"/>
        <v>#N/A</v>
      </c>
      <c r="AP131" s="513" t="e">
        <f t="shared" si="26"/>
        <v>#N/A</v>
      </c>
      <c r="AQ131" s="436" t="e">
        <f>NA()</f>
        <v>#N/A</v>
      </c>
      <c r="AR131" s="441"/>
      <c r="AU131" s="514" t="e">
        <f t="shared" si="29"/>
        <v>#N/A</v>
      </c>
      <c r="AV131" s="514" t="e">
        <f t="shared" si="27"/>
        <v>#N/A</v>
      </c>
      <c r="AW131" s="513" t="e">
        <f t="shared" si="27"/>
        <v>#N/A</v>
      </c>
    </row>
    <row r="132" spans="6:49" x14ac:dyDescent="0.25">
      <c r="F132" s="441"/>
      <c r="G132" s="451" t="s">
        <v>102</v>
      </c>
      <c r="H132" s="515">
        <f>G115</f>
        <v>0.52</v>
      </c>
      <c r="I132" s="436" t="e">
        <f>IF(G127&gt;=H132,TRUE,FALSE)</f>
        <v>#REF!</v>
      </c>
      <c r="M132" s="440"/>
      <c r="AK132" s="441">
        <v>72</v>
      </c>
      <c r="AL132" s="436" t="str">
        <f t="shared" si="28"/>
        <v/>
      </c>
      <c r="AM132" s="514" t="e">
        <f t="shared" si="26"/>
        <v>#N/A</v>
      </c>
      <c r="AN132" s="514" t="e">
        <f t="shared" si="26"/>
        <v>#N/A</v>
      </c>
      <c r="AO132" s="514" t="e">
        <f t="shared" si="26"/>
        <v>#N/A</v>
      </c>
      <c r="AP132" s="513" t="e">
        <f t="shared" si="26"/>
        <v>#N/A</v>
      </c>
      <c r="AQ132" s="436" t="e">
        <f>NA()</f>
        <v>#N/A</v>
      </c>
      <c r="AR132" s="441"/>
      <c r="AU132" s="514" t="e">
        <f t="shared" si="29"/>
        <v>#N/A</v>
      </c>
      <c r="AV132" s="514" t="e">
        <f t="shared" si="27"/>
        <v>#N/A</v>
      </c>
      <c r="AW132" s="513" t="e">
        <f t="shared" si="27"/>
        <v>#N/A</v>
      </c>
    </row>
    <row r="133" spans="6:49" x14ac:dyDescent="0.25">
      <c r="F133" s="439" t="e">
        <f>IF(AND(J119,J128,I131,I132),"Blend is within the Workability Box.","Blend is not in the Workability Box")</f>
        <v>#REF!</v>
      </c>
      <c r="G133" s="438"/>
      <c r="H133" s="438"/>
      <c r="I133" s="438"/>
      <c r="J133" s="438"/>
      <c r="K133" s="438"/>
      <c r="L133" s="438"/>
      <c r="M133" s="437"/>
      <c r="AK133" s="441">
        <v>73</v>
      </c>
      <c r="AL133" s="436" t="str">
        <f t="shared" si="28"/>
        <v/>
      </c>
      <c r="AM133" s="514" t="e">
        <f t="shared" si="26"/>
        <v>#N/A</v>
      </c>
      <c r="AN133" s="514" t="e">
        <f t="shared" si="26"/>
        <v>#N/A</v>
      </c>
      <c r="AO133" s="514" t="e">
        <f t="shared" si="26"/>
        <v>#N/A</v>
      </c>
      <c r="AP133" s="513" t="e">
        <f t="shared" si="26"/>
        <v>#N/A</v>
      </c>
      <c r="AQ133" s="436" t="e">
        <f>NA()</f>
        <v>#N/A</v>
      </c>
      <c r="AR133" s="441"/>
      <c r="AU133" s="514" t="e">
        <f t="shared" si="29"/>
        <v>#N/A</v>
      </c>
      <c r="AV133" s="514" t="e">
        <f t="shared" si="27"/>
        <v>#N/A</v>
      </c>
      <c r="AW133" s="513" t="e">
        <f t="shared" si="27"/>
        <v>#N/A</v>
      </c>
    </row>
    <row r="134" spans="6:49" x14ac:dyDescent="0.25">
      <c r="AK134" s="441">
        <v>74</v>
      </c>
      <c r="AL134" s="436" t="str">
        <f t="shared" si="28"/>
        <v/>
      </c>
      <c r="AM134" s="514" t="e">
        <f t="shared" si="26"/>
        <v>#N/A</v>
      </c>
      <c r="AN134" s="514" t="e">
        <f t="shared" si="26"/>
        <v>#N/A</v>
      </c>
      <c r="AO134" s="514" t="e">
        <f t="shared" si="26"/>
        <v>#N/A</v>
      </c>
      <c r="AP134" s="513" t="e">
        <f t="shared" si="26"/>
        <v>#N/A</v>
      </c>
      <c r="AQ134" s="436" t="e">
        <f>NA()</f>
        <v>#N/A</v>
      </c>
      <c r="AR134" s="441"/>
      <c r="AU134" s="514" t="e">
        <f t="shared" si="29"/>
        <v>#N/A</v>
      </c>
      <c r="AV134" s="514" t="e">
        <f t="shared" si="27"/>
        <v>#N/A</v>
      </c>
      <c r="AW134" s="513" t="e">
        <f t="shared" si="27"/>
        <v>#N/A</v>
      </c>
    </row>
    <row r="135" spans="6:49" x14ac:dyDescent="0.25">
      <c r="AK135" s="441">
        <v>75</v>
      </c>
      <c r="AL135" s="436" t="str">
        <f t="shared" si="28"/>
        <v/>
      </c>
      <c r="AM135" s="514" t="e">
        <f t="shared" si="26"/>
        <v>#N/A</v>
      </c>
      <c r="AN135" s="514" t="e">
        <f t="shared" si="26"/>
        <v>#N/A</v>
      </c>
      <c r="AO135" s="514" t="e">
        <f t="shared" si="26"/>
        <v>#N/A</v>
      </c>
      <c r="AP135" s="513" t="e">
        <f t="shared" si="26"/>
        <v>#N/A</v>
      </c>
      <c r="AQ135" s="436" t="e">
        <f>NA()</f>
        <v>#N/A</v>
      </c>
      <c r="AR135" s="441"/>
      <c r="AU135" s="514" t="e">
        <f t="shared" si="29"/>
        <v>#N/A</v>
      </c>
      <c r="AV135" s="514" t="e">
        <f t="shared" si="27"/>
        <v>#N/A</v>
      </c>
      <c r="AW135" s="513" t="e">
        <f t="shared" si="27"/>
        <v>#N/A</v>
      </c>
    </row>
    <row r="136" spans="6:49" x14ac:dyDescent="0.25">
      <c r="AK136" s="441">
        <v>76</v>
      </c>
      <c r="AL136" s="436" t="str">
        <f t="shared" si="28"/>
        <v/>
      </c>
      <c r="AM136" s="514" t="e">
        <f t="shared" si="26"/>
        <v>#N/A</v>
      </c>
      <c r="AN136" s="514" t="e">
        <f t="shared" si="26"/>
        <v>#N/A</v>
      </c>
      <c r="AO136" s="514" t="e">
        <f t="shared" si="26"/>
        <v>#N/A</v>
      </c>
      <c r="AP136" s="513" t="e">
        <f t="shared" si="26"/>
        <v>#N/A</v>
      </c>
      <c r="AQ136" s="436" t="e">
        <f>NA()</f>
        <v>#N/A</v>
      </c>
      <c r="AR136" s="441"/>
      <c r="AU136" s="514" t="e">
        <f t="shared" si="29"/>
        <v>#N/A</v>
      </c>
      <c r="AV136" s="514" t="e">
        <f t="shared" si="27"/>
        <v>#N/A</v>
      </c>
      <c r="AW136" s="513" t="e">
        <f t="shared" si="27"/>
        <v>#N/A</v>
      </c>
    </row>
    <row r="137" spans="6:49" x14ac:dyDescent="0.25">
      <c r="AK137" s="441">
        <v>77</v>
      </c>
      <c r="AL137" s="436" t="str">
        <f t="shared" si="28"/>
        <v/>
      </c>
      <c r="AM137" s="514" t="e">
        <f t="shared" si="26"/>
        <v>#N/A</v>
      </c>
      <c r="AN137" s="514" t="e">
        <f t="shared" si="26"/>
        <v>#N/A</v>
      </c>
      <c r="AO137" s="514" t="e">
        <f t="shared" si="26"/>
        <v>#N/A</v>
      </c>
      <c r="AP137" s="513" t="e">
        <f t="shared" si="26"/>
        <v>#N/A</v>
      </c>
      <c r="AQ137" s="436" t="e">
        <f>NA()</f>
        <v>#N/A</v>
      </c>
      <c r="AR137" s="441"/>
      <c r="AU137" s="514" t="e">
        <f t="shared" si="29"/>
        <v>#N/A</v>
      </c>
      <c r="AV137" s="514" t="e">
        <f t="shared" si="27"/>
        <v>#N/A</v>
      </c>
      <c r="AW137" s="513" t="e">
        <f t="shared" si="27"/>
        <v>#N/A</v>
      </c>
    </row>
    <row r="138" spans="6:49" x14ac:dyDescent="0.25">
      <c r="AK138" s="441">
        <v>78</v>
      </c>
      <c r="AL138" s="436" t="str">
        <f t="shared" si="28"/>
        <v/>
      </c>
      <c r="AM138" s="514" t="e">
        <f t="shared" si="26"/>
        <v>#N/A</v>
      </c>
      <c r="AN138" s="514" t="e">
        <f t="shared" si="26"/>
        <v>#N/A</v>
      </c>
      <c r="AO138" s="514" t="e">
        <f t="shared" si="26"/>
        <v>#N/A</v>
      </c>
      <c r="AP138" s="513" t="e">
        <f t="shared" si="26"/>
        <v>#N/A</v>
      </c>
      <c r="AQ138" s="436" t="e">
        <f>NA()</f>
        <v>#N/A</v>
      </c>
      <c r="AR138" s="441"/>
      <c r="AU138" s="514" t="e">
        <f t="shared" si="29"/>
        <v>#N/A</v>
      </c>
      <c r="AV138" s="514" t="e">
        <f t="shared" si="27"/>
        <v>#N/A</v>
      </c>
      <c r="AW138" s="513" t="e">
        <f t="shared" si="27"/>
        <v>#N/A</v>
      </c>
    </row>
    <row r="139" spans="6:49" x14ac:dyDescent="0.25">
      <c r="AK139" s="441">
        <v>79</v>
      </c>
      <c r="AL139" s="436" t="str">
        <f t="shared" si="28"/>
        <v/>
      </c>
      <c r="AM139" s="514" t="e">
        <f t="shared" si="26"/>
        <v>#N/A</v>
      </c>
      <c r="AN139" s="514" t="e">
        <f t="shared" si="26"/>
        <v>#N/A</v>
      </c>
      <c r="AO139" s="514" t="e">
        <f t="shared" si="26"/>
        <v>#N/A</v>
      </c>
      <c r="AP139" s="513" t="e">
        <f t="shared" si="26"/>
        <v>#N/A</v>
      </c>
      <c r="AQ139" s="436" t="e">
        <f>NA()</f>
        <v>#N/A</v>
      </c>
      <c r="AR139" s="441"/>
      <c r="AU139" s="514" t="e">
        <f t="shared" si="29"/>
        <v>#N/A</v>
      </c>
      <c r="AV139" s="514" t="e">
        <f t="shared" si="27"/>
        <v>#N/A</v>
      </c>
      <c r="AW139" s="513" t="e">
        <f t="shared" si="27"/>
        <v>#N/A</v>
      </c>
    </row>
    <row r="140" spans="6:49" x14ac:dyDescent="0.25">
      <c r="AK140" s="441">
        <v>80</v>
      </c>
      <c r="AL140" s="436" t="str">
        <f t="shared" si="28"/>
        <v/>
      </c>
      <c r="AM140" s="514" t="e">
        <f t="shared" ref="AM140:AP159" si="30">IF(ISBLANK(VLOOKUP($AK140,$AK$43:$AP$56,AM$59,FALSE)),NA(),VLOOKUP($AK140,$AK$43:$AP$56,AM$59,FALSE))</f>
        <v>#N/A</v>
      </c>
      <c r="AN140" s="514" t="e">
        <f t="shared" si="30"/>
        <v>#N/A</v>
      </c>
      <c r="AO140" s="514" t="e">
        <f t="shared" si="30"/>
        <v>#N/A</v>
      </c>
      <c r="AP140" s="513" t="e">
        <f t="shared" si="30"/>
        <v>#N/A</v>
      </c>
      <c r="AQ140" s="436" t="e">
        <f>NA()</f>
        <v>#N/A</v>
      </c>
      <c r="AR140" s="441"/>
      <c r="AU140" s="514" t="e">
        <f t="shared" si="29"/>
        <v>#N/A</v>
      </c>
      <c r="AV140" s="514" t="e">
        <f t="shared" si="27"/>
        <v>#N/A</v>
      </c>
      <c r="AW140" s="513" t="e">
        <f t="shared" si="27"/>
        <v>#N/A</v>
      </c>
    </row>
    <row r="141" spans="6:49" x14ac:dyDescent="0.25">
      <c r="AK141" s="441">
        <v>81</v>
      </c>
      <c r="AL141" s="436" t="str">
        <f t="shared" si="28"/>
        <v/>
      </c>
      <c r="AM141" s="514" t="e">
        <f t="shared" si="30"/>
        <v>#N/A</v>
      </c>
      <c r="AN141" s="514" t="e">
        <f t="shared" si="30"/>
        <v>#N/A</v>
      </c>
      <c r="AO141" s="514" t="e">
        <f t="shared" si="30"/>
        <v>#N/A</v>
      </c>
      <c r="AP141" s="513" t="e">
        <f t="shared" si="30"/>
        <v>#N/A</v>
      </c>
      <c r="AQ141" s="436" t="e">
        <f>NA()</f>
        <v>#N/A</v>
      </c>
      <c r="AR141" s="441"/>
      <c r="AU141" s="514" t="e">
        <f t="shared" si="29"/>
        <v>#N/A</v>
      </c>
      <c r="AV141" s="514" t="e">
        <f t="shared" ref="AV141:AW160" si="31">IF(ISBLANK(VLOOKUP($AK141,$AK$43:$AW$56,AV$59,FALSE)),NA(),VLOOKUP($AK141,$AK$43:$AW$56,AV$59,FALSE))</f>
        <v>#N/A</v>
      </c>
      <c r="AW141" s="513" t="e">
        <f t="shared" si="31"/>
        <v>#N/A</v>
      </c>
    </row>
    <row r="142" spans="6:49" x14ac:dyDescent="0.25">
      <c r="AK142" s="441">
        <v>82</v>
      </c>
      <c r="AL142" s="436" t="str">
        <f t="shared" si="28"/>
        <v/>
      </c>
      <c r="AM142" s="514" t="e">
        <f t="shared" si="30"/>
        <v>#N/A</v>
      </c>
      <c r="AN142" s="514" t="e">
        <f t="shared" si="30"/>
        <v>#N/A</v>
      </c>
      <c r="AO142" s="514" t="e">
        <f t="shared" si="30"/>
        <v>#N/A</v>
      </c>
      <c r="AP142" s="513" t="e">
        <f t="shared" si="30"/>
        <v>#N/A</v>
      </c>
      <c r="AQ142" s="436" t="e">
        <f>NA()</f>
        <v>#N/A</v>
      </c>
      <c r="AR142" s="441"/>
      <c r="AU142" s="514" t="e">
        <f t="shared" si="29"/>
        <v>#N/A</v>
      </c>
      <c r="AV142" s="514" t="e">
        <f t="shared" si="31"/>
        <v>#N/A</v>
      </c>
      <c r="AW142" s="513" t="e">
        <f t="shared" si="31"/>
        <v>#N/A</v>
      </c>
    </row>
    <row r="143" spans="6:49" x14ac:dyDescent="0.25">
      <c r="AK143" s="441">
        <v>83</v>
      </c>
      <c r="AL143" s="436" t="str">
        <f t="shared" si="28"/>
        <v/>
      </c>
      <c r="AM143" s="514" t="e">
        <f t="shared" si="30"/>
        <v>#N/A</v>
      </c>
      <c r="AN143" s="514" t="e">
        <f t="shared" si="30"/>
        <v>#N/A</v>
      </c>
      <c r="AO143" s="514" t="e">
        <f t="shared" si="30"/>
        <v>#N/A</v>
      </c>
      <c r="AP143" s="513" t="e">
        <f t="shared" si="30"/>
        <v>#N/A</v>
      </c>
      <c r="AQ143" s="436" t="e">
        <f>NA()</f>
        <v>#N/A</v>
      </c>
      <c r="AR143" s="441"/>
      <c r="AU143" s="514" t="e">
        <f t="shared" si="29"/>
        <v>#N/A</v>
      </c>
      <c r="AV143" s="514" t="e">
        <f t="shared" si="31"/>
        <v>#N/A</v>
      </c>
      <c r="AW143" s="513" t="e">
        <f t="shared" si="31"/>
        <v>#N/A</v>
      </c>
    </row>
    <row r="144" spans="6:49" x14ac:dyDescent="0.25">
      <c r="AK144" s="441">
        <v>84</v>
      </c>
      <c r="AL144" s="436" t="str">
        <f t="shared" si="28"/>
        <v>3/4 in.</v>
      </c>
      <c r="AM144" s="514" t="e">
        <f t="shared" si="30"/>
        <v>#REF!</v>
      </c>
      <c r="AN144" s="514" t="e">
        <f t="shared" si="30"/>
        <v>#N/A</v>
      </c>
      <c r="AO144" s="514" t="e">
        <f t="shared" si="30"/>
        <v>#N/A</v>
      </c>
      <c r="AP144" s="513" t="e">
        <f t="shared" si="30"/>
        <v>#N/A</v>
      </c>
      <c r="AQ144" s="515">
        <f>AQ67</f>
        <v>1</v>
      </c>
      <c r="AR144" s="441"/>
      <c r="AU144" s="514" t="e">
        <f t="shared" si="29"/>
        <v>#REF!</v>
      </c>
      <c r="AV144" s="514" t="e">
        <f t="shared" si="31"/>
        <v>#REF!</v>
      </c>
      <c r="AW144" s="513" t="str">
        <f t="shared" si="31"/>
        <v/>
      </c>
    </row>
    <row r="145" spans="37:49" x14ac:dyDescent="0.25">
      <c r="AK145" s="441">
        <v>85</v>
      </c>
      <c r="AL145" s="436" t="str">
        <f t="shared" si="28"/>
        <v/>
      </c>
      <c r="AM145" s="514" t="e">
        <f t="shared" si="30"/>
        <v>#N/A</v>
      </c>
      <c r="AN145" s="514" t="e">
        <f t="shared" si="30"/>
        <v>#N/A</v>
      </c>
      <c r="AO145" s="514" t="e">
        <f t="shared" si="30"/>
        <v>#N/A</v>
      </c>
      <c r="AP145" s="513" t="e">
        <f t="shared" si="30"/>
        <v>#N/A</v>
      </c>
      <c r="AQ145" s="436" t="e">
        <f>NA()</f>
        <v>#N/A</v>
      </c>
      <c r="AR145" s="441"/>
      <c r="AU145" s="514" t="e">
        <f t="shared" si="29"/>
        <v>#N/A</v>
      </c>
      <c r="AV145" s="514" t="e">
        <f t="shared" si="31"/>
        <v>#N/A</v>
      </c>
      <c r="AW145" s="513" t="e">
        <f t="shared" si="31"/>
        <v>#N/A</v>
      </c>
    </row>
    <row r="146" spans="37:49" x14ac:dyDescent="0.25">
      <c r="AK146" s="441">
        <v>86</v>
      </c>
      <c r="AL146" s="436" t="str">
        <f t="shared" si="28"/>
        <v/>
      </c>
      <c r="AM146" s="514" t="e">
        <f t="shared" si="30"/>
        <v>#N/A</v>
      </c>
      <c r="AN146" s="514" t="e">
        <f t="shared" si="30"/>
        <v>#N/A</v>
      </c>
      <c r="AO146" s="514" t="e">
        <f t="shared" si="30"/>
        <v>#N/A</v>
      </c>
      <c r="AP146" s="513" t="e">
        <f t="shared" si="30"/>
        <v>#N/A</v>
      </c>
      <c r="AQ146" s="436" t="e">
        <f>NA()</f>
        <v>#N/A</v>
      </c>
      <c r="AR146" s="441"/>
      <c r="AU146" s="514" t="e">
        <f t="shared" si="29"/>
        <v>#N/A</v>
      </c>
      <c r="AV146" s="514" t="e">
        <f t="shared" si="31"/>
        <v>#N/A</v>
      </c>
      <c r="AW146" s="513" t="e">
        <f t="shared" si="31"/>
        <v>#N/A</v>
      </c>
    </row>
    <row r="147" spans="37:49" x14ac:dyDescent="0.25">
      <c r="AK147" s="441">
        <v>87</v>
      </c>
      <c r="AL147" s="436" t="str">
        <f t="shared" si="28"/>
        <v/>
      </c>
      <c r="AM147" s="514" t="e">
        <f t="shared" si="30"/>
        <v>#N/A</v>
      </c>
      <c r="AN147" s="514" t="e">
        <f t="shared" si="30"/>
        <v>#N/A</v>
      </c>
      <c r="AO147" s="514" t="e">
        <f t="shared" si="30"/>
        <v>#N/A</v>
      </c>
      <c r="AP147" s="513" t="e">
        <f t="shared" si="30"/>
        <v>#N/A</v>
      </c>
      <c r="AQ147" s="436" t="e">
        <f>NA()</f>
        <v>#N/A</v>
      </c>
      <c r="AR147" s="441"/>
      <c r="AU147" s="514" t="e">
        <f t="shared" si="29"/>
        <v>#N/A</v>
      </c>
      <c r="AV147" s="514" t="e">
        <f t="shared" si="31"/>
        <v>#N/A</v>
      </c>
      <c r="AW147" s="513" t="e">
        <f t="shared" si="31"/>
        <v>#N/A</v>
      </c>
    </row>
    <row r="148" spans="37:49" x14ac:dyDescent="0.25">
      <c r="AK148" s="441">
        <v>88</v>
      </c>
      <c r="AL148" s="436" t="str">
        <f t="shared" si="28"/>
        <v/>
      </c>
      <c r="AM148" s="514" t="e">
        <f t="shared" si="30"/>
        <v>#N/A</v>
      </c>
      <c r="AN148" s="514" t="e">
        <f t="shared" si="30"/>
        <v>#N/A</v>
      </c>
      <c r="AO148" s="514" t="e">
        <f t="shared" si="30"/>
        <v>#N/A</v>
      </c>
      <c r="AP148" s="513" t="e">
        <f t="shared" si="30"/>
        <v>#N/A</v>
      </c>
      <c r="AQ148" s="436" t="e">
        <f>NA()</f>
        <v>#N/A</v>
      </c>
      <c r="AR148" s="441"/>
      <c r="AU148" s="514" t="e">
        <f t="shared" si="29"/>
        <v>#N/A</v>
      </c>
      <c r="AV148" s="514" t="e">
        <f t="shared" si="31"/>
        <v>#N/A</v>
      </c>
      <c r="AW148" s="513" t="e">
        <f t="shared" si="31"/>
        <v>#N/A</v>
      </c>
    </row>
    <row r="149" spans="37:49" x14ac:dyDescent="0.25">
      <c r="AK149" s="441">
        <v>89</v>
      </c>
      <c r="AL149" s="436" t="str">
        <f t="shared" si="28"/>
        <v/>
      </c>
      <c r="AM149" s="514" t="e">
        <f t="shared" si="30"/>
        <v>#N/A</v>
      </c>
      <c r="AN149" s="514" t="e">
        <f t="shared" si="30"/>
        <v>#N/A</v>
      </c>
      <c r="AO149" s="514" t="e">
        <f t="shared" si="30"/>
        <v>#N/A</v>
      </c>
      <c r="AP149" s="513" t="e">
        <f t="shared" si="30"/>
        <v>#N/A</v>
      </c>
      <c r="AQ149" s="436" t="e">
        <f>NA()</f>
        <v>#N/A</v>
      </c>
      <c r="AR149" s="441"/>
      <c r="AU149" s="514" t="e">
        <f t="shared" si="29"/>
        <v>#N/A</v>
      </c>
      <c r="AV149" s="514" t="e">
        <f t="shared" si="31"/>
        <v>#N/A</v>
      </c>
      <c r="AW149" s="513" t="e">
        <f t="shared" si="31"/>
        <v>#N/A</v>
      </c>
    </row>
    <row r="150" spans="37:49" x14ac:dyDescent="0.25">
      <c r="AK150" s="441">
        <v>90</v>
      </c>
      <c r="AL150" s="436" t="str">
        <f t="shared" si="28"/>
        <v/>
      </c>
      <c r="AM150" s="514" t="e">
        <f t="shared" si="30"/>
        <v>#N/A</v>
      </c>
      <c r="AN150" s="514" t="e">
        <f t="shared" si="30"/>
        <v>#N/A</v>
      </c>
      <c r="AO150" s="514" t="e">
        <f t="shared" si="30"/>
        <v>#N/A</v>
      </c>
      <c r="AP150" s="513" t="e">
        <f t="shared" si="30"/>
        <v>#N/A</v>
      </c>
      <c r="AQ150" s="436" t="e">
        <f>NA()</f>
        <v>#N/A</v>
      </c>
      <c r="AR150" s="441"/>
      <c r="AU150" s="514" t="e">
        <f t="shared" si="29"/>
        <v>#N/A</v>
      </c>
      <c r="AV150" s="514" t="e">
        <f t="shared" si="31"/>
        <v>#N/A</v>
      </c>
      <c r="AW150" s="513" t="e">
        <f t="shared" si="31"/>
        <v>#N/A</v>
      </c>
    </row>
    <row r="151" spans="37:49" x14ac:dyDescent="0.25">
      <c r="AK151" s="441">
        <v>91</v>
      </c>
      <c r="AL151" s="436" t="str">
        <f t="shared" si="28"/>
        <v/>
      </c>
      <c r="AM151" s="514" t="e">
        <f t="shared" si="30"/>
        <v>#N/A</v>
      </c>
      <c r="AN151" s="514" t="e">
        <f t="shared" si="30"/>
        <v>#N/A</v>
      </c>
      <c r="AO151" s="514" t="e">
        <f t="shared" si="30"/>
        <v>#N/A</v>
      </c>
      <c r="AP151" s="513" t="e">
        <f t="shared" si="30"/>
        <v>#N/A</v>
      </c>
      <c r="AQ151" s="436" t="e">
        <f>NA()</f>
        <v>#N/A</v>
      </c>
      <c r="AR151" s="441"/>
      <c r="AU151" s="514" t="e">
        <f t="shared" si="29"/>
        <v>#N/A</v>
      </c>
      <c r="AV151" s="514" t="e">
        <f t="shared" si="31"/>
        <v>#N/A</v>
      </c>
      <c r="AW151" s="513" t="e">
        <f t="shared" si="31"/>
        <v>#N/A</v>
      </c>
    </row>
    <row r="152" spans="37:49" x14ac:dyDescent="0.25">
      <c r="AK152" s="441">
        <v>92</v>
      </c>
      <c r="AL152" s="436" t="str">
        <f t="shared" si="28"/>
        <v/>
      </c>
      <c r="AM152" s="514" t="e">
        <f t="shared" si="30"/>
        <v>#N/A</v>
      </c>
      <c r="AN152" s="514" t="e">
        <f t="shared" si="30"/>
        <v>#N/A</v>
      </c>
      <c r="AO152" s="514" t="e">
        <f t="shared" si="30"/>
        <v>#N/A</v>
      </c>
      <c r="AP152" s="513" t="e">
        <f t="shared" si="30"/>
        <v>#N/A</v>
      </c>
      <c r="AQ152" s="436" t="e">
        <f>NA()</f>
        <v>#N/A</v>
      </c>
      <c r="AR152" s="441"/>
      <c r="AU152" s="514" t="e">
        <f t="shared" si="29"/>
        <v>#N/A</v>
      </c>
      <c r="AV152" s="514" t="e">
        <f t="shared" si="31"/>
        <v>#N/A</v>
      </c>
      <c r="AW152" s="513" t="e">
        <f t="shared" si="31"/>
        <v>#N/A</v>
      </c>
    </row>
    <row r="153" spans="37:49" x14ac:dyDescent="0.25">
      <c r="AK153" s="441">
        <v>93</v>
      </c>
      <c r="AL153" s="436" t="str">
        <f t="shared" si="28"/>
        <v/>
      </c>
      <c r="AM153" s="514" t="e">
        <f t="shared" si="30"/>
        <v>#N/A</v>
      </c>
      <c r="AN153" s="514" t="e">
        <f t="shared" si="30"/>
        <v>#N/A</v>
      </c>
      <c r="AO153" s="514" t="e">
        <f t="shared" si="30"/>
        <v>#N/A</v>
      </c>
      <c r="AP153" s="513" t="e">
        <f t="shared" si="30"/>
        <v>#N/A</v>
      </c>
      <c r="AQ153" s="436" t="e">
        <f>NA()</f>
        <v>#N/A</v>
      </c>
      <c r="AR153" s="441"/>
      <c r="AU153" s="514" t="e">
        <f t="shared" si="29"/>
        <v>#N/A</v>
      </c>
      <c r="AV153" s="514" t="e">
        <f t="shared" si="31"/>
        <v>#N/A</v>
      </c>
      <c r="AW153" s="513" t="e">
        <f t="shared" si="31"/>
        <v>#N/A</v>
      </c>
    </row>
    <row r="154" spans="37:49" x14ac:dyDescent="0.25">
      <c r="AK154" s="441">
        <v>94</v>
      </c>
      <c r="AL154" s="436" t="str">
        <f t="shared" si="28"/>
        <v/>
      </c>
      <c r="AM154" s="514" t="e">
        <f t="shared" si="30"/>
        <v>#N/A</v>
      </c>
      <c r="AN154" s="514" t="e">
        <f t="shared" si="30"/>
        <v>#N/A</v>
      </c>
      <c r="AO154" s="514" t="e">
        <f t="shared" si="30"/>
        <v>#N/A</v>
      </c>
      <c r="AP154" s="513" t="e">
        <f t="shared" si="30"/>
        <v>#N/A</v>
      </c>
      <c r="AQ154" s="436" t="e">
        <f>NA()</f>
        <v>#N/A</v>
      </c>
      <c r="AR154" s="441"/>
      <c r="AU154" s="514" t="e">
        <f t="shared" si="29"/>
        <v>#N/A</v>
      </c>
      <c r="AV154" s="514" t="e">
        <f t="shared" si="31"/>
        <v>#N/A</v>
      </c>
      <c r="AW154" s="513" t="e">
        <f t="shared" si="31"/>
        <v>#N/A</v>
      </c>
    </row>
    <row r="155" spans="37:49" x14ac:dyDescent="0.25">
      <c r="AK155" s="441">
        <v>95</v>
      </c>
      <c r="AL155" s="436" t="str">
        <f t="shared" si="28"/>
        <v/>
      </c>
      <c r="AM155" s="514" t="e">
        <f t="shared" si="30"/>
        <v>#N/A</v>
      </c>
      <c r="AN155" s="514" t="e">
        <f t="shared" si="30"/>
        <v>#N/A</v>
      </c>
      <c r="AO155" s="514" t="e">
        <f t="shared" si="30"/>
        <v>#N/A</v>
      </c>
      <c r="AP155" s="513" t="e">
        <f t="shared" si="30"/>
        <v>#N/A</v>
      </c>
      <c r="AQ155" s="436" t="e">
        <f>NA()</f>
        <v>#N/A</v>
      </c>
      <c r="AR155" s="441"/>
      <c r="AU155" s="514" t="e">
        <f t="shared" si="29"/>
        <v>#N/A</v>
      </c>
      <c r="AV155" s="514" t="e">
        <f t="shared" si="31"/>
        <v>#N/A</v>
      </c>
      <c r="AW155" s="513" t="e">
        <f t="shared" si="31"/>
        <v>#N/A</v>
      </c>
    </row>
    <row r="156" spans="37:49" x14ac:dyDescent="0.25">
      <c r="AK156" s="441">
        <v>96</v>
      </c>
      <c r="AL156" s="436" t="str">
        <f t="shared" ref="AL156:AL187" si="32">IF(ISNA(VLOOKUP($AK156,$AK$43:$AP$56,AL$59,FALSE)),"",VLOOKUP($AK156,$AK$43:$AP$56,AL$59,FALSE))</f>
        <v>1 in.</v>
      </c>
      <c r="AM156" s="514" t="e">
        <f t="shared" si="30"/>
        <v>#REF!</v>
      </c>
      <c r="AN156" s="514" t="e">
        <f t="shared" si="30"/>
        <v>#N/A</v>
      </c>
      <c r="AO156" s="514" t="e">
        <f t="shared" si="30"/>
        <v>#N/A</v>
      </c>
      <c r="AP156" s="513" t="e">
        <f t="shared" si="30"/>
        <v>#N/A</v>
      </c>
      <c r="AQ156" s="515">
        <f>AQ67</f>
        <v>1</v>
      </c>
      <c r="AR156" s="441"/>
      <c r="AU156" s="514" t="e">
        <f t="shared" si="29"/>
        <v>#REF!</v>
      </c>
      <c r="AV156" s="514" t="e">
        <f t="shared" si="31"/>
        <v>#REF!</v>
      </c>
      <c r="AW156" s="513" t="str">
        <f t="shared" si="31"/>
        <v/>
      </c>
    </row>
    <row r="157" spans="37:49" x14ac:dyDescent="0.25">
      <c r="AK157" s="441">
        <v>97</v>
      </c>
      <c r="AL157" s="436" t="str">
        <f t="shared" si="32"/>
        <v/>
      </c>
      <c r="AM157" s="514" t="e">
        <f t="shared" si="30"/>
        <v>#N/A</v>
      </c>
      <c r="AN157" s="514" t="e">
        <f t="shared" si="30"/>
        <v>#N/A</v>
      </c>
      <c r="AO157" s="514" t="e">
        <f t="shared" si="30"/>
        <v>#N/A</v>
      </c>
      <c r="AP157" s="513" t="e">
        <f t="shared" si="30"/>
        <v>#N/A</v>
      </c>
      <c r="AQ157" s="436" t="e">
        <f>NA()</f>
        <v>#N/A</v>
      </c>
      <c r="AR157" s="441"/>
      <c r="AU157" s="514" t="e">
        <f t="shared" ref="AU157:AU188" si="33">IF(ISBLANK(VLOOKUP($AK157,$AK$43:$AU$56,AU$59,FALSE)),NA(),VLOOKUP($AK157,$AK$43:$AU$56,AU$59,FALSE))</f>
        <v>#N/A</v>
      </c>
      <c r="AV157" s="514" t="e">
        <f t="shared" si="31"/>
        <v>#N/A</v>
      </c>
      <c r="AW157" s="513" t="e">
        <f t="shared" si="31"/>
        <v>#N/A</v>
      </c>
    </row>
    <row r="158" spans="37:49" x14ac:dyDescent="0.25">
      <c r="AK158" s="441">
        <v>98</v>
      </c>
      <c r="AL158" s="436" t="str">
        <f t="shared" si="32"/>
        <v/>
      </c>
      <c r="AM158" s="514" t="e">
        <f t="shared" si="30"/>
        <v>#N/A</v>
      </c>
      <c r="AN158" s="514" t="e">
        <f t="shared" si="30"/>
        <v>#N/A</v>
      </c>
      <c r="AO158" s="514" t="e">
        <f t="shared" si="30"/>
        <v>#N/A</v>
      </c>
      <c r="AP158" s="513" t="e">
        <f t="shared" si="30"/>
        <v>#N/A</v>
      </c>
      <c r="AQ158" s="436" t="e">
        <f>NA()</f>
        <v>#N/A</v>
      </c>
      <c r="AR158" s="441"/>
      <c r="AU158" s="514" t="e">
        <f t="shared" si="33"/>
        <v>#N/A</v>
      </c>
      <c r="AV158" s="514" t="e">
        <f t="shared" si="31"/>
        <v>#N/A</v>
      </c>
      <c r="AW158" s="513" t="e">
        <f t="shared" si="31"/>
        <v>#N/A</v>
      </c>
    </row>
    <row r="159" spans="37:49" x14ac:dyDescent="0.25">
      <c r="AK159" s="441">
        <v>99</v>
      </c>
      <c r="AL159" s="436" t="str">
        <f t="shared" si="32"/>
        <v/>
      </c>
      <c r="AM159" s="514" t="e">
        <f t="shared" si="30"/>
        <v>#N/A</v>
      </c>
      <c r="AN159" s="514" t="e">
        <f t="shared" si="30"/>
        <v>#N/A</v>
      </c>
      <c r="AO159" s="514" t="e">
        <f t="shared" si="30"/>
        <v>#N/A</v>
      </c>
      <c r="AP159" s="513" t="e">
        <f t="shared" si="30"/>
        <v>#N/A</v>
      </c>
      <c r="AQ159" s="436" t="e">
        <f>NA()</f>
        <v>#N/A</v>
      </c>
      <c r="AR159" s="441"/>
      <c r="AU159" s="514" t="e">
        <f t="shared" si="33"/>
        <v>#N/A</v>
      </c>
      <c r="AV159" s="514" t="e">
        <f t="shared" si="31"/>
        <v>#N/A</v>
      </c>
      <c r="AW159" s="513" t="e">
        <f t="shared" si="31"/>
        <v>#N/A</v>
      </c>
    </row>
    <row r="160" spans="37:49" x14ac:dyDescent="0.25">
      <c r="AK160" s="441">
        <v>100</v>
      </c>
      <c r="AL160" s="436" t="str">
        <f t="shared" si="32"/>
        <v/>
      </c>
      <c r="AM160" s="514" t="e">
        <f t="shared" ref="AM160:AP179" si="34">IF(ISBLANK(VLOOKUP($AK160,$AK$43:$AP$56,AM$59,FALSE)),NA(),VLOOKUP($AK160,$AK$43:$AP$56,AM$59,FALSE))</f>
        <v>#N/A</v>
      </c>
      <c r="AN160" s="514" t="e">
        <f t="shared" si="34"/>
        <v>#N/A</v>
      </c>
      <c r="AO160" s="514" t="e">
        <f t="shared" si="34"/>
        <v>#N/A</v>
      </c>
      <c r="AP160" s="513" t="e">
        <f t="shared" si="34"/>
        <v>#N/A</v>
      </c>
      <c r="AQ160" s="436" t="e">
        <f>NA()</f>
        <v>#N/A</v>
      </c>
      <c r="AR160" s="441"/>
      <c r="AU160" s="514" t="e">
        <f t="shared" si="33"/>
        <v>#N/A</v>
      </c>
      <c r="AV160" s="514" t="e">
        <f t="shared" si="31"/>
        <v>#N/A</v>
      </c>
      <c r="AW160" s="513" t="e">
        <f t="shared" si="31"/>
        <v>#N/A</v>
      </c>
    </row>
    <row r="161" spans="37:49" x14ac:dyDescent="0.25">
      <c r="AK161" s="441">
        <v>101</v>
      </c>
      <c r="AL161" s="436" t="str">
        <f t="shared" si="32"/>
        <v/>
      </c>
      <c r="AM161" s="514" t="e">
        <f t="shared" si="34"/>
        <v>#N/A</v>
      </c>
      <c r="AN161" s="514" t="e">
        <f t="shared" si="34"/>
        <v>#N/A</v>
      </c>
      <c r="AO161" s="514" t="e">
        <f t="shared" si="34"/>
        <v>#N/A</v>
      </c>
      <c r="AP161" s="513" t="e">
        <f t="shared" si="34"/>
        <v>#N/A</v>
      </c>
      <c r="AQ161" s="436" t="e">
        <f>NA()</f>
        <v>#N/A</v>
      </c>
      <c r="AR161" s="441"/>
      <c r="AU161" s="514" t="e">
        <f t="shared" si="33"/>
        <v>#N/A</v>
      </c>
      <c r="AV161" s="514" t="e">
        <f t="shared" ref="AV161:AW180" si="35">IF(ISBLANK(VLOOKUP($AK161,$AK$43:$AW$56,AV$59,FALSE)),NA(),VLOOKUP($AK161,$AK$43:$AW$56,AV$59,FALSE))</f>
        <v>#N/A</v>
      </c>
      <c r="AW161" s="513" t="e">
        <f t="shared" si="35"/>
        <v>#N/A</v>
      </c>
    </row>
    <row r="162" spans="37:49" x14ac:dyDescent="0.25">
      <c r="AK162" s="441">
        <v>102</v>
      </c>
      <c r="AL162" s="436" t="str">
        <f t="shared" si="32"/>
        <v/>
      </c>
      <c r="AM162" s="514" t="e">
        <f t="shared" si="34"/>
        <v>#N/A</v>
      </c>
      <c r="AN162" s="514" t="e">
        <f t="shared" si="34"/>
        <v>#N/A</v>
      </c>
      <c r="AO162" s="514" t="e">
        <f t="shared" si="34"/>
        <v>#N/A</v>
      </c>
      <c r="AP162" s="513" t="e">
        <f t="shared" si="34"/>
        <v>#N/A</v>
      </c>
      <c r="AQ162" s="436" t="e">
        <f>NA()</f>
        <v>#N/A</v>
      </c>
      <c r="AR162" s="441"/>
      <c r="AU162" s="514" t="e">
        <f t="shared" si="33"/>
        <v>#N/A</v>
      </c>
      <c r="AV162" s="514" t="e">
        <f t="shared" si="35"/>
        <v>#N/A</v>
      </c>
      <c r="AW162" s="513" t="e">
        <f t="shared" si="35"/>
        <v>#N/A</v>
      </c>
    </row>
    <row r="163" spans="37:49" x14ac:dyDescent="0.25">
      <c r="AK163" s="441">
        <v>103</v>
      </c>
      <c r="AL163" s="436" t="str">
        <f t="shared" si="32"/>
        <v/>
      </c>
      <c r="AM163" s="514" t="e">
        <f t="shared" si="34"/>
        <v>#N/A</v>
      </c>
      <c r="AN163" s="514" t="e">
        <f t="shared" si="34"/>
        <v>#N/A</v>
      </c>
      <c r="AO163" s="514" t="e">
        <f t="shared" si="34"/>
        <v>#N/A</v>
      </c>
      <c r="AP163" s="513" t="e">
        <f t="shared" si="34"/>
        <v>#N/A</v>
      </c>
      <c r="AQ163" s="436" t="e">
        <f>NA()</f>
        <v>#N/A</v>
      </c>
      <c r="AR163" s="441"/>
      <c r="AU163" s="514" t="e">
        <f t="shared" si="33"/>
        <v>#N/A</v>
      </c>
      <c r="AV163" s="514" t="e">
        <f t="shared" si="35"/>
        <v>#N/A</v>
      </c>
      <c r="AW163" s="513" t="e">
        <f t="shared" si="35"/>
        <v>#N/A</v>
      </c>
    </row>
    <row r="164" spans="37:49" x14ac:dyDescent="0.25">
      <c r="AK164" s="441">
        <v>104</v>
      </c>
      <c r="AL164" s="436" t="str">
        <f t="shared" si="32"/>
        <v/>
      </c>
      <c r="AM164" s="514" t="e">
        <f t="shared" si="34"/>
        <v>#N/A</v>
      </c>
      <c r="AN164" s="514" t="e">
        <f t="shared" si="34"/>
        <v>#N/A</v>
      </c>
      <c r="AO164" s="514" t="e">
        <f t="shared" si="34"/>
        <v>#N/A</v>
      </c>
      <c r="AP164" s="513" t="e">
        <f t="shared" si="34"/>
        <v>#N/A</v>
      </c>
      <c r="AQ164" s="436" t="e">
        <f>NA()</f>
        <v>#N/A</v>
      </c>
      <c r="AR164" s="441"/>
      <c r="AU164" s="514" t="e">
        <f t="shared" si="33"/>
        <v>#N/A</v>
      </c>
      <c r="AV164" s="514" t="e">
        <f t="shared" si="35"/>
        <v>#N/A</v>
      </c>
      <c r="AW164" s="513" t="e">
        <f t="shared" si="35"/>
        <v>#N/A</v>
      </c>
    </row>
    <row r="165" spans="37:49" x14ac:dyDescent="0.25">
      <c r="AK165" s="441">
        <v>105</v>
      </c>
      <c r="AL165" s="436" t="str">
        <f t="shared" si="32"/>
        <v/>
      </c>
      <c r="AM165" s="514" t="e">
        <f t="shared" si="34"/>
        <v>#N/A</v>
      </c>
      <c r="AN165" s="514" t="e">
        <f t="shared" si="34"/>
        <v>#N/A</v>
      </c>
      <c r="AO165" s="514" t="e">
        <f t="shared" si="34"/>
        <v>#N/A</v>
      </c>
      <c r="AP165" s="513" t="e">
        <f t="shared" si="34"/>
        <v>#N/A</v>
      </c>
      <c r="AQ165" s="436" t="e">
        <f>NA()</f>
        <v>#N/A</v>
      </c>
      <c r="AR165" s="441"/>
      <c r="AU165" s="514" t="e">
        <f t="shared" si="33"/>
        <v>#N/A</v>
      </c>
      <c r="AV165" s="514" t="e">
        <f t="shared" si="35"/>
        <v>#N/A</v>
      </c>
      <c r="AW165" s="513" t="e">
        <f t="shared" si="35"/>
        <v>#N/A</v>
      </c>
    </row>
    <row r="166" spans="37:49" x14ac:dyDescent="0.25">
      <c r="AK166" s="441">
        <v>106</v>
      </c>
      <c r="AL166" s="436" t="str">
        <f t="shared" si="32"/>
        <v/>
      </c>
      <c r="AM166" s="514" t="e">
        <f t="shared" si="34"/>
        <v>#N/A</v>
      </c>
      <c r="AN166" s="514" t="e">
        <f t="shared" si="34"/>
        <v>#N/A</v>
      </c>
      <c r="AO166" s="514" t="e">
        <f t="shared" si="34"/>
        <v>#N/A</v>
      </c>
      <c r="AP166" s="513" t="e">
        <f t="shared" si="34"/>
        <v>#N/A</v>
      </c>
      <c r="AQ166" s="436" t="e">
        <f>NA()</f>
        <v>#N/A</v>
      </c>
      <c r="AR166" s="441"/>
      <c r="AU166" s="514" t="e">
        <f t="shared" si="33"/>
        <v>#N/A</v>
      </c>
      <c r="AV166" s="514" t="e">
        <f t="shared" si="35"/>
        <v>#N/A</v>
      </c>
      <c r="AW166" s="513" t="e">
        <f t="shared" si="35"/>
        <v>#N/A</v>
      </c>
    </row>
    <row r="167" spans="37:49" x14ac:dyDescent="0.25">
      <c r="AK167" s="441">
        <v>107</v>
      </c>
      <c r="AL167" s="436" t="str">
        <f t="shared" si="32"/>
        <v/>
      </c>
      <c r="AM167" s="514" t="e">
        <f t="shared" si="34"/>
        <v>#N/A</v>
      </c>
      <c r="AN167" s="514" t="e">
        <f t="shared" si="34"/>
        <v>#N/A</v>
      </c>
      <c r="AO167" s="514" t="e">
        <f t="shared" si="34"/>
        <v>#N/A</v>
      </c>
      <c r="AP167" s="513" t="e">
        <f t="shared" si="34"/>
        <v>#N/A</v>
      </c>
      <c r="AQ167" s="436" t="e">
        <f>NA()</f>
        <v>#N/A</v>
      </c>
      <c r="AR167" s="441"/>
      <c r="AU167" s="514" t="e">
        <f t="shared" si="33"/>
        <v>#N/A</v>
      </c>
      <c r="AV167" s="514" t="e">
        <f t="shared" si="35"/>
        <v>#N/A</v>
      </c>
      <c r="AW167" s="513" t="e">
        <f t="shared" si="35"/>
        <v>#N/A</v>
      </c>
    </row>
    <row r="168" spans="37:49" x14ac:dyDescent="0.25">
      <c r="AK168" s="441">
        <v>108</v>
      </c>
      <c r="AL168" s="436" t="str">
        <f t="shared" si="32"/>
        <v/>
      </c>
      <c r="AM168" s="514" t="e">
        <f t="shared" si="34"/>
        <v>#N/A</v>
      </c>
      <c r="AN168" s="514" t="e">
        <f t="shared" si="34"/>
        <v>#N/A</v>
      </c>
      <c r="AO168" s="514" t="e">
        <f t="shared" si="34"/>
        <v>#N/A</v>
      </c>
      <c r="AP168" s="513" t="e">
        <f t="shared" si="34"/>
        <v>#N/A</v>
      </c>
      <c r="AQ168" s="436" t="e">
        <f>NA()</f>
        <v>#N/A</v>
      </c>
      <c r="AR168" s="441"/>
      <c r="AU168" s="514" t="e">
        <f t="shared" si="33"/>
        <v>#N/A</v>
      </c>
      <c r="AV168" s="514" t="e">
        <f t="shared" si="35"/>
        <v>#N/A</v>
      </c>
      <c r="AW168" s="513" t="e">
        <f t="shared" si="35"/>
        <v>#N/A</v>
      </c>
    </row>
    <row r="169" spans="37:49" x14ac:dyDescent="0.25">
      <c r="AK169" s="441">
        <v>109</v>
      </c>
      <c r="AL169" s="436" t="str">
        <f t="shared" si="32"/>
        <v/>
      </c>
      <c r="AM169" s="514" t="e">
        <f t="shared" si="34"/>
        <v>#N/A</v>
      </c>
      <c r="AN169" s="514" t="e">
        <f t="shared" si="34"/>
        <v>#N/A</v>
      </c>
      <c r="AO169" s="514" t="e">
        <f t="shared" si="34"/>
        <v>#N/A</v>
      </c>
      <c r="AP169" s="513" t="e">
        <f t="shared" si="34"/>
        <v>#N/A</v>
      </c>
      <c r="AQ169" s="436" t="e">
        <f>NA()</f>
        <v>#N/A</v>
      </c>
      <c r="AR169" s="441"/>
      <c r="AU169" s="514" t="e">
        <f t="shared" si="33"/>
        <v>#N/A</v>
      </c>
      <c r="AV169" s="514" t="e">
        <f t="shared" si="35"/>
        <v>#N/A</v>
      </c>
      <c r="AW169" s="513" t="e">
        <f t="shared" si="35"/>
        <v>#N/A</v>
      </c>
    </row>
    <row r="170" spans="37:49" x14ac:dyDescent="0.25">
      <c r="AK170" s="441">
        <v>110</v>
      </c>
      <c r="AL170" s="436" t="str">
        <f t="shared" si="32"/>
        <v/>
      </c>
      <c r="AM170" s="514" t="e">
        <f t="shared" si="34"/>
        <v>#N/A</v>
      </c>
      <c r="AN170" s="514" t="e">
        <f t="shared" si="34"/>
        <v>#N/A</v>
      </c>
      <c r="AO170" s="514" t="e">
        <f t="shared" si="34"/>
        <v>#N/A</v>
      </c>
      <c r="AP170" s="513" t="e">
        <f t="shared" si="34"/>
        <v>#N/A</v>
      </c>
      <c r="AQ170" s="436" t="e">
        <f>NA()</f>
        <v>#N/A</v>
      </c>
      <c r="AR170" s="441"/>
      <c r="AU170" s="514" t="e">
        <f t="shared" si="33"/>
        <v>#N/A</v>
      </c>
      <c r="AV170" s="514" t="e">
        <f t="shared" si="35"/>
        <v>#N/A</v>
      </c>
      <c r="AW170" s="513" t="e">
        <f t="shared" si="35"/>
        <v>#N/A</v>
      </c>
    </row>
    <row r="171" spans="37:49" x14ac:dyDescent="0.25">
      <c r="AK171" s="441">
        <v>111</v>
      </c>
      <c r="AL171" s="436" t="str">
        <f t="shared" si="32"/>
        <v/>
      </c>
      <c r="AM171" s="514" t="e">
        <f t="shared" si="34"/>
        <v>#N/A</v>
      </c>
      <c r="AN171" s="514" t="e">
        <f t="shared" si="34"/>
        <v>#N/A</v>
      </c>
      <c r="AO171" s="514" t="e">
        <f t="shared" si="34"/>
        <v>#N/A</v>
      </c>
      <c r="AP171" s="513" t="e">
        <f t="shared" si="34"/>
        <v>#N/A</v>
      </c>
      <c r="AQ171" s="436" t="e">
        <f>NA()</f>
        <v>#N/A</v>
      </c>
      <c r="AR171" s="441"/>
      <c r="AU171" s="514" t="e">
        <f t="shared" si="33"/>
        <v>#N/A</v>
      </c>
      <c r="AV171" s="514" t="e">
        <f t="shared" si="35"/>
        <v>#N/A</v>
      </c>
      <c r="AW171" s="513" t="e">
        <f t="shared" si="35"/>
        <v>#N/A</v>
      </c>
    </row>
    <row r="172" spans="37:49" x14ac:dyDescent="0.25">
      <c r="AK172" s="441">
        <v>112</v>
      </c>
      <c r="AL172" s="436" t="str">
        <f t="shared" si="32"/>
        <v/>
      </c>
      <c r="AM172" s="514" t="e">
        <f t="shared" si="34"/>
        <v>#N/A</v>
      </c>
      <c r="AN172" s="514" t="e">
        <f t="shared" si="34"/>
        <v>#N/A</v>
      </c>
      <c r="AO172" s="514" t="e">
        <f t="shared" si="34"/>
        <v>#N/A</v>
      </c>
      <c r="AP172" s="513" t="e">
        <f t="shared" si="34"/>
        <v>#N/A</v>
      </c>
      <c r="AQ172" s="436" t="e">
        <f>NA()</f>
        <v>#N/A</v>
      </c>
      <c r="AR172" s="441"/>
      <c r="AU172" s="514" t="e">
        <f t="shared" si="33"/>
        <v>#N/A</v>
      </c>
      <c r="AV172" s="514" t="e">
        <f t="shared" si="35"/>
        <v>#N/A</v>
      </c>
      <c r="AW172" s="513" t="e">
        <f t="shared" si="35"/>
        <v>#N/A</v>
      </c>
    </row>
    <row r="173" spans="37:49" x14ac:dyDescent="0.25">
      <c r="AK173" s="441">
        <v>113</v>
      </c>
      <c r="AL173" s="436" t="str">
        <f t="shared" si="32"/>
        <v/>
      </c>
      <c r="AM173" s="514" t="e">
        <f t="shared" si="34"/>
        <v>#N/A</v>
      </c>
      <c r="AN173" s="514" t="e">
        <f t="shared" si="34"/>
        <v>#N/A</v>
      </c>
      <c r="AO173" s="514" t="e">
        <f t="shared" si="34"/>
        <v>#N/A</v>
      </c>
      <c r="AP173" s="513" t="e">
        <f t="shared" si="34"/>
        <v>#N/A</v>
      </c>
      <c r="AQ173" s="436" t="e">
        <f>NA()</f>
        <v>#N/A</v>
      </c>
      <c r="AR173" s="441"/>
      <c r="AU173" s="514" t="e">
        <f t="shared" si="33"/>
        <v>#N/A</v>
      </c>
      <c r="AV173" s="514" t="e">
        <f t="shared" si="35"/>
        <v>#N/A</v>
      </c>
      <c r="AW173" s="513" t="e">
        <f t="shared" si="35"/>
        <v>#N/A</v>
      </c>
    </row>
    <row r="174" spans="37:49" x14ac:dyDescent="0.25">
      <c r="AK174" s="441">
        <v>114</v>
      </c>
      <c r="AL174" s="436" t="str">
        <f t="shared" si="32"/>
        <v/>
      </c>
      <c r="AM174" s="514" t="e">
        <f t="shared" si="34"/>
        <v>#N/A</v>
      </c>
      <c r="AN174" s="514" t="e">
        <f t="shared" si="34"/>
        <v>#N/A</v>
      </c>
      <c r="AO174" s="514" t="e">
        <f t="shared" si="34"/>
        <v>#N/A</v>
      </c>
      <c r="AP174" s="513" t="e">
        <f t="shared" si="34"/>
        <v>#N/A</v>
      </c>
      <c r="AQ174" s="436" t="e">
        <f>NA()</f>
        <v>#N/A</v>
      </c>
      <c r="AR174" s="441"/>
      <c r="AU174" s="514" t="e">
        <f t="shared" si="33"/>
        <v>#N/A</v>
      </c>
      <c r="AV174" s="514" t="e">
        <f t="shared" si="35"/>
        <v>#N/A</v>
      </c>
      <c r="AW174" s="513" t="e">
        <f t="shared" si="35"/>
        <v>#N/A</v>
      </c>
    </row>
    <row r="175" spans="37:49" x14ac:dyDescent="0.25">
      <c r="AK175" s="441">
        <v>115</v>
      </c>
      <c r="AL175" s="436" t="str">
        <f t="shared" si="32"/>
        <v>1 1/2 in.</v>
      </c>
      <c r="AM175" s="514" t="e">
        <f t="shared" si="34"/>
        <v>#REF!</v>
      </c>
      <c r="AN175" s="514" t="e">
        <f t="shared" si="34"/>
        <v>#N/A</v>
      </c>
      <c r="AO175" s="514" t="e">
        <f t="shared" si="34"/>
        <v>#N/A</v>
      </c>
      <c r="AP175" s="513" t="e">
        <f t="shared" si="34"/>
        <v>#N/A</v>
      </c>
      <c r="AQ175" s="515">
        <f>AQ67</f>
        <v>1</v>
      </c>
      <c r="AR175" s="441"/>
      <c r="AU175" s="514" t="e">
        <f t="shared" si="33"/>
        <v>#REF!</v>
      </c>
      <c r="AV175" s="514" t="e">
        <f t="shared" si="35"/>
        <v>#REF!</v>
      </c>
      <c r="AW175" s="513" t="str">
        <f t="shared" si="35"/>
        <v/>
      </c>
    </row>
    <row r="176" spans="37:49" x14ac:dyDescent="0.25">
      <c r="AK176" s="441">
        <v>116</v>
      </c>
      <c r="AL176" s="436" t="str">
        <f t="shared" si="32"/>
        <v/>
      </c>
      <c r="AM176" s="514" t="e">
        <f t="shared" si="34"/>
        <v>#N/A</v>
      </c>
      <c r="AN176" s="514" t="e">
        <f t="shared" si="34"/>
        <v>#N/A</v>
      </c>
      <c r="AO176" s="514" t="e">
        <f t="shared" si="34"/>
        <v>#N/A</v>
      </c>
      <c r="AP176" s="513" t="e">
        <f t="shared" si="34"/>
        <v>#N/A</v>
      </c>
      <c r="AQ176" s="436" t="e">
        <f>NA()</f>
        <v>#N/A</v>
      </c>
      <c r="AR176" s="441"/>
      <c r="AU176" s="514" t="e">
        <f t="shared" si="33"/>
        <v>#N/A</v>
      </c>
      <c r="AV176" s="514" t="e">
        <f t="shared" si="35"/>
        <v>#N/A</v>
      </c>
      <c r="AW176" s="513" t="e">
        <f t="shared" si="35"/>
        <v>#N/A</v>
      </c>
    </row>
    <row r="177" spans="37:49" x14ac:dyDescent="0.25">
      <c r="AK177" s="441">
        <v>117</v>
      </c>
      <c r="AL177" s="436" t="str">
        <f t="shared" si="32"/>
        <v/>
      </c>
      <c r="AM177" s="514" t="e">
        <f t="shared" si="34"/>
        <v>#N/A</v>
      </c>
      <c r="AN177" s="514" t="e">
        <f t="shared" si="34"/>
        <v>#N/A</v>
      </c>
      <c r="AO177" s="514" t="e">
        <f t="shared" si="34"/>
        <v>#N/A</v>
      </c>
      <c r="AP177" s="513" t="e">
        <f t="shared" si="34"/>
        <v>#N/A</v>
      </c>
      <c r="AQ177" s="436" t="e">
        <f>NA()</f>
        <v>#N/A</v>
      </c>
      <c r="AR177" s="441"/>
      <c r="AU177" s="514" t="e">
        <f t="shared" si="33"/>
        <v>#N/A</v>
      </c>
      <c r="AV177" s="514" t="e">
        <f t="shared" si="35"/>
        <v>#N/A</v>
      </c>
      <c r="AW177" s="513" t="e">
        <f t="shared" si="35"/>
        <v>#N/A</v>
      </c>
    </row>
    <row r="178" spans="37:49" x14ac:dyDescent="0.25">
      <c r="AK178" s="441">
        <v>118</v>
      </c>
      <c r="AL178" s="436" t="str">
        <f t="shared" si="32"/>
        <v/>
      </c>
      <c r="AM178" s="514" t="e">
        <f t="shared" si="34"/>
        <v>#N/A</v>
      </c>
      <c r="AN178" s="514" t="e">
        <f t="shared" si="34"/>
        <v>#N/A</v>
      </c>
      <c r="AO178" s="514" t="e">
        <f t="shared" si="34"/>
        <v>#N/A</v>
      </c>
      <c r="AP178" s="513" t="e">
        <f t="shared" si="34"/>
        <v>#N/A</v>
      </c>
      <c r="AQ178" s="436" t="e">
        <f>NA()</f>
        <v>#N/A</v>
      </c>
      <c r="AR178" s="441"/>
      <c r="AU178" s="514" t="e">
        <f t="shared" si="33"/>
        <v>#N/A</v>
      </c>
      <c r="AV178" s="514" t="e">
        <f t="shared" si="35"/>
        <v>#N/A</v>
      </c>
      <c r="AW178" s="513" t="e">
        <f t="shared" si="35"/>
        <v>#N/A</v>
      </c>
    </row>
    <row r="179" spans="37:49" x14ac:dyDescent="0.25">
      <c r="AK179" s="441">
        <v>119</v>
      </c>
      <c r="AL179" s="436" t="str">
        <f t="shared" si="32"/>
        <v/>
      </c>
      <c r="AM179" s="514" t="e">
        <f t="shared" si="34"/>
        <v>#N/A</v>
      </c>
      <c r="AN179" s="514" t="e">
        <f t="shared" si="34"/>
        <v>#N/A</v>
      </c>
      <c r="AO179" s="514" t="e">
        <f t="shared" si="34"/>
        <v>#N/A</v>
      </c>
      <c r="AP179" s="513" t="e">
        <f t="shared" si="34"/>
        <v>#N/A</v>
      </c>
      <c r="AQ179" s="436" t="e">
        <f>NA()</f>
        <v>#N/A</v>
      </c>
      <c r="AR179" s="441"/>
      <c r="AU179" s="514" t="e">
        <f t="shared" si="33"/>
        <v>#N/A</v>
      </c>
      <c r="AV179" s="514" t="e">
        <f t="shared" si="35"/>
        <v>#N/A</v>
      </c>
      <c r="AW179" s="513" t="e">
        <f t="shared" si="35"/>
        <v>#N/A</v>
      </c>
    </row>
    <row r="180" spans="37:49" x14ac:dyDescent="0.25">
      <c r="AK180" s="441">
        <v>120</v>
      </c>
      <c r="AL180" s="436" t="str">
        <f t="shared" si="32"/>
        <v/>
      </c>
      <c r="AM180" s="514" t="e">
        <f t="shared" ref="AM180:AP198" si="36">IF(ISBLANK(VLOOKUP($AK180,$AK$43:$AP$56,AM$59,FALSE)),NA(),VLOOKUP($AK180,$AK$43:$AP$56,AM$59,FALSE))</f>
        <v>#N/A</v>
      </c>
      <c r="AN180" s="514" t="e">
        <f t="shared" si="36"/>
        <v>#N/A</v>
      </c>
      <c r="AO180" s="514" t="e">
        <f t="shared" si="36"/>
        <v>#N/A</v>
      </c>
      <c r="AP180" s="513" t="e">
        <f t="shared" si="36"/>
        <v>#N/A</v>
      </c>
      <c r="AQ180" s="436" t="e">
        <f>NA()</f>
        <v>#N/A</v>
      </c>
      <c r="AR180" s="441"/>
      <c r="AU180" s="514" t="e">
        <f t="shared" si="33"/>
        <v>#N/A</v>
      </c>
      <c r="AV180" s="514" t="e">
        <f t="shared" si="35"/>
        <v>#N/A</v>
      </c>
      <c r="AW180" s="513" t="e">
        <f t="shared" si="35"/>
        <v>#N/A</v>
      </c>
    </row>
    <row r="181" spans="37:49" x14ac:dyDescent="0.25">
      <c r="AK181" s="441">
        <v>121</v>
      </c>
      <c r="AL181" s="436" t="str">
        <f t="shared" si="32"/>
        <v/>
      </c>
      <c r="AM181" s="514" t="e">
        <f t="shared" si="36"/>
        <v>#N/A</v>
      </c>
      <c r="AN181" s="514" t="e">
        <f t="shared" si="36"/>
        <v>#N/A</v>
      </c>
      <c r="AO181" s="514" t="e">
        <f t="shared" si="36"/>
        <v>#N/A</v>
      </c>
      <c r="AP181" s="513" t="e">
        <f t="shared" si="36"/>
        <v>#N/A</v>
      </c>
      <c r="AQ181" s="436" t="e">
        <f>NA()</f>
        <v>#N/A</v>
      </c>
      <c r="AR181" s="441"/>
      <c r="AU181" s="514" t="e">
        <f t="shared" si="33"/>
        <v>#N/A</v>
      </c>
      <c r="AV181" s="514" t="e">
        <f t="shared" ref="AV181:AW198" si="37">IF(ISBLANK(VLOOKUP($AK181,$AK$43:$AW$56,AV$59,FALSE)),NA(),VLOOKUP($AK181,$AK$43:$AW$56,AV$59,FALSE))</f>
        <v>#N/A</v>
      </c>
      <c r="AW181" s="513" t="e">
        <f t="shared" si="37"/>
        <v>#N/A</v>
      </c>
    </row>
    <row r="182" spans="37:49" x14ac:dyDescent="0.25">
      <c r="AK182" s="441">
        <v>122</v>
      </c>
      <c r="AL182" s="436" t="str">
        <f t="shared" si="32"/>
        <v/>
      </c>
      <c r="AM182" s="514" t="e">
        <f t="shared" si="36"/>
        <v>#N/A</v>
      </c>
      <c r="AN182" s="514" t="e">
        <f t="shared" si="36"/>
        <v>#N/A</v>
      </c>
      <c r="AO182" s="514" t="e">
        <f t="shared" si="36"/>
        <v>#N/A</v>
      </c>
      <c r="AP182" s="513" t="e">
        <f t="shared" si="36"/>
        <v>#N/A</v>
      </c>
      <c r="AQ182" s="436" t="e">
        <f>NA()</f>
        <v>#N/A</v>
      </c>
      <c r="AR182" s="441"/>
      <c r="AU182" s="514" t="e">
        <f t="shared" si="33"/>
        <v>#N/A</v>
      </c>
      <c r="AV182" s="514" t="e">
        <f t="shared" si="37"/>
        <v>#N/A</v>
      </c>
      <c r="AW182" s="513" t="e">
        <f t="shared" si="37"/>
        <v>#N/A</v>
      </c>
    </row>
    <row r="183" spans="37:49" x14ac:dyDescent="0.25">
      <c r="AK183" s="441">
        <v>123</v>
      </c>
      <c r="AL183" s="436" t="str">
        <f t="shared" si="32"/>
        <v/>
      </c>
      <c r="AM183" s="514" t="e">
        <f t="shared" si="36"/>
        <v>#N/A</v>
      </c>
      <c r="AN183" s="514" t="e">
        <f t="shared" si="36"/>
        <v>#N/A</v>
      </c>
      <c r="AO183" s="514" t="e">
        <f t="shared" si="36"/>
        <v>#N/A</v>
      </c>
      <c r="AP183" s="513" t="e">
        <f t="shared" si="36"/>
        <v>#N/A</v>
      </c>
      <c r="AQ183" s="436" t="e">
        <f>NA()</f>
        <v>#N/A</v>
      </c>
      <c r="AR183" s="441"/>
      <c r="AU183" s="514" t="e">
        <f t="shared" si="33"/>
        <v>#N/A</v>
      </c>
      <c r="AV183" s="514" t="e">
        <f t="shared" si="37"/>
        <v>#N/A</v>
      </c>
      <c r="AW183" s="513" t="e">
        <f t="shared" si="37"/>
        <v>#N/A</v>
      </c>
    </row>
    <row r="184" spans="37:49" x14ac:dyDescent="0.25">
      <c r="AK184" s="441">
        <v>124</v>
      </c>
      <c r="AL184" s="436" t="str">
        <f t="shared" si="32"/>
        <v/>
      </c>
      <c r="AM184" s="514" t="e">
        <f t="shared" si="36"/>
        <v>#N/A</v>
      </c>
      <c r="AN184" s="514" t="e">
        <f t="shared" si="36"/>
        <v>#N/A</v>
      </c>
      <c r="AO184" s="514" t="e">
        <f t="shared" si="36"/>
        <v>#N/A</v>
      </c>
      <c r="AP184" s="513" t="e">
        <f t="shared" si="36"/>
        <v>#N/A</v>
      </c>
      <c r="AQ184" s="436" t="e">
        <f>NA()</f>
        <v>#N/A</v>
      </c>
      <c r="AR184" s="441"/>
      <c r="AU184" s="514" t="e">
        <f t="shared" si="33"/>
        <v>#N/A</v>
      </c>
      <c r="AV184" s="514" t="e">
        <f t="shared" si="37"/>
        <v>#N/A</v>
      </c>
      <c r="AW184" s="513" t="e">
        <f t="shared" si="37"/>
        <v>#N/A</v>
      </c>
    </row>
    <row r="185" spans="37:49" x14ac:dyDescent="0.25">
      <c r="AK185" s="441">
        <v>125</v>
      </c>
      <c r="AL185" s="436" t="str">
        <f t="shared" si="32"/>
        <v/>
      </c>
      <c r="AM185" s="514" t="e">
        <f t="shared" si="36"/>
        <v>#N/A</v>
      </c>
      <c r="AN185" s="514" t="e">
        <f t="shared" si="36"/>
        <v>#N/A</v>
      </c>
      <c r="AO185" s="514" t="e">
        <f t="shared" si="36"/>
        <v>#N/A</v>
      </c>
      <c r="AP185" s="513" t="e">
        <f t="shared" si="36"/>
        <v>#N/A</v>
      </c>
      <c r="AQ185" s="436" t="e">
        <f>NA()</f>
        <v>#N/A</v>
      </c>
      <c r="AR185" s="441"/>
      <c r="AU185" s="514" t="e">
        <f t="shared" si="33"/>
        <v>#N/A</v>
      </c>
      <c r="AV185" s="514" t="e">
        <f t="shared" si="37"/>
        <v>#N/A</v>
      </c>
      <c r="AW185" s="513" t="e">
        <f t="shared" si="37"/>
        <v>#N/A</v>
      </c>
    </row>
    <row r="186" spans="37:49" x14ac:dyDescent="0.25">
      <c r="AK186" s="441">
        <v>126</v>
      </c>
      <c r="AL186" s="436" t="str">
        <f t="shared" si="32"/>
        <v/>
      </c>
      <c r="AM186" s="514" t="e">
        <f t="shared" si="36"/>
        <v>#N/A</v>
      </c>
      <c r="AN186" s="514" t="e">
        <f t="shared" si="36"/>
        <v>#N/A</v>
      </c>
      <c r="AO186" s="514" t="e">
        <f t="shared" si="36"/>
        <v>#N/A</v>
      </c>
      <c r="AP186" s="513" t="e">
        <f t="shared" si="36"/>
        <v>#N/A</v>
      </c>
      <c r="AQ186" s="436" t="e">
        <f>NA()</f>
        <v>#N/A</v>
      </c>
      <c r="AR186" s="441"/>
      <c r="AU186" s="514" t="e">
        <f t="shared" si="33"/>
        <v>#N/A</v>
      </c>
      <c r="AV186" s="514" t="e">
        <f t="shared" si="37"/>
        <v>#N/A</v>
      </c>
      <c r="AW186" s="513" t="e">
        <f t="shared" si="37"/>
        <v>#N/A</v>
      </c>
    </row>
    <row r="187" spans="37:49" x14ac:dyDescent="0.25">
      <c r="AK187" s="441">
        <v>127</v>
      </c>
      <c r="AL187" s="436" t="str">
        <f t="shared" si="32"/>
        <v/>
      </c>
      <c r="AM187" s="514" t="e">
        <f t="shared" si="36"/>
        <v>#N/A</v>
      </c>
      <c r="AN187" s="514" t="e">
        <f t="shared" si="36"/>
        <v>#N/A</v>
      </c>
      <c r="AO187" s="514" t="e">
        <f t="shared" si="36"/>
        <v>#N/A</v>
      </c>
      <c r="AP187" s="513" t="e">
        <f t="shared" si="36"/>
        <v>#N/A</v>
      </c>
      <c r="AQ187" s="436" t="e">
        <f>NA()</f>
        <v>#N/A</v>
      </c>
      <c r="AR187" s="441"/>
      <c r="AU187" s="514" t="e">
        <f t="shared" si="33"/>
        <v>#N/A</v>
      </c>
      <c r="AV187" s="514" t="e">
        <f t="shared" si="37"/>
        <v>#N/A</v>
      </c>
      <c r="AW187" s="513" t="e">
        <f t="shared" si="37"/>
        <v>#N/A</v>
      </c>
    </row>
    <row r="188" spans="37:49" x14ac:dyDescent="0.25">
      <c r="AK188" s="441">
        <v>128</v>
      </c>
      <c r="AL188" s="436" t="str">
        <f t="shared" ref="AL188:AL198" si="38">IF(ISNA(VLOOKUP($AK188,$AK$43:$AP$56,AL$59,FALSE)),"",VLOOKUP($AK188,$AK$43:$AP$56,AL$59,FALSE))</f>
        <v/>
      </c>
      <c r="AM188" s="514" t="e">
        <f t="shared" si="36"/>
        <v>#N/A</v>
      </c>
      <c r="AN188" s="514" t="e">
        <f t="shared" si="36"/>
        <v>#N/A</v>
      </c>
      <c r="AO188" s="514" t="e">
        <f t="shared" si="36"/>
        <v>#N/A</v>
      </c>
      <c r="AP188" s="513" t="e">
        <f t="shared" si="36"/>
        <v>#N/A</v>
      </c>
      <c r="AQ188" s="436" t="e">
        <f>NA()</f>
        <v>#N/A</v>
      </c>
      <c r="AR188" s="441"/>
      <c r="AU188" s="514" t="e">
        <f t="shared" si="33"/>
        <v>#N/A</v>
      </c>
      <c r="AV188" s="514" t="e">
        <f t="shared" si="37"/>
        <v>#N/A</v>
      </c>
      <c r="AW188" s="513" t="e">
        <f t="shared" si="37"/>
        <v>#N/A</v>
      </c>
    </row>
    <row r="189" spans="37:49" x14ac:dyDescent="0.25">
      <c r="AK189" s="441">
        <v>129</v>
      </c>
      <c r="AL189" s="436" t="str">
        <f t="shared" si="38"/>
        <v/>
      </c>
      <c r="AM189" s="514" t="e">
        <f t="shared" si="36"/>
        <v>#N/A</v>
      </c>
      <c r="AN189" s="514" t="e">
        <f t="shared" si="36"/>
        <v>#N/A</v>
      </c>
      <c r="AO189" s="514" t="e">
        <f t="shared" si="36"/>
        <v>#N/A</v>
      </c>
      <c r="AP189" s="513" t="e">
        <f t="shared" si="36"/>
        <v>#N/A</v>
      </c>
      <c r="AQ189" s="436" t="e">
        <f>NA()</f>
        <v>#N/A</v>
      </c>
      <c r="AR189" s="441"/>
      <c r="AU189" s="514" t="e">
        <f t="shared" ref="AU189:AU198" si="39">IF(ISBLANK(VLOOKUP($AK189,$AK$43:$AU$56,AU$59,FALSE)),NA(),VLOOKUP($AK189,$AK$43:$AU$56,AU$59,FALSE))</f>
        <v>#N/A</v>
      </c>
      <c r="AV189" s="514" t="e">
        <f t="shared" si="37"/>
        <v>#N/A</v>
      </c>
      <c r="AW189" s="513" t="e">
        <f t="shared" si="37"/>
        <v>#N/A</v>
      </c>
    </row>
    <row r="190" spans="37:49" x14ac:dyDescent="0.25">
      <c r="AK190" s="441">
        <v>130</v>
      </c>
      <c r="AL190" s="436" t="str">
        <f t="shared" si="38"/>
        <v/>
      </c>
      <c r="AM190" s="514" t="e">
        <f t="shared" si="36"/>
        <v>#N/A</v>
      </c>
      <c r="AN190" s="514" t="e">
        <f t="shared" si="36"/>
        <v>#N/A</v>
      </c>
      <c r="AO190" s="514" t="e">
        <f t="shared" si="36"/>
        <v>#N/A</v>
      </c>
      <c r="AP190" s="513" t="e">
        <f t="shared" si="36"/>
        <v>#N/A</v>
      </c>
      <c r="AQ190" s="436" t="e">
        <f>NA()</f>
        <v>#N/A</v>
      </c>
      <c r="AR190" s="441"/>
      <c r="AU190" s="514" t="e">
        <f t="shared" si="39"/>
        <v>#N/A</v>
      </c>
      <c r="AV190" s="514" t="e">
        <f t="shared" si="37"/>
        <v>#N/A</v>
      </c>
      <c r="AW190" s="513" t="e">
        <f t="shared" si="37"/>
        <v>#N/A</v>
      </c>
    </row>
    <row r="191" spans="37:49" x14ac:dyDescent="0.25">
      <c r="AK191" s="441">
        <v>131</v>
      </c>
      <c r="AL191" s="436" t="str">
        <f t="shared" si="38"/>
        <v>2 in.</v>
      </c>
      <c r="AM191" s="514" t="e">
        <f t="shared" si="36"/>
        <v>#REF!</v>
      </c>
      <c r="AN191" s="514" t="e">
        <f t="shared" si="36"/>
        <v>#N/A</v>
      </c>
      <c r="AO191" s="514" t="e">
        <f t="shared" si="36"/>
        <v>#DIV/0!</v>
      </c>
      <c r="AP191" s="513" t="e">
        <f t="shared" si="36"/>
        <v>#DIV/0!</v>
      </c>
      <c r="AQ191" s="515">
        <f>AQ67</f>
        <v>1</v>
      </c>
      <c r="AR191" s="441"/>
      <c r="AU191" s="514" t="e">
        <f t="shared" si="39"/>
        <v>#REF!</v>
      </c>
      <c r="AV191" s="514" t="e">
        <f t="shared" si="37"/>
        <v>#REF!</v>
      </c>
      <c r="AW191" s="513" t="str">
        <f t="shared" si="37"/>
        <v/>
      </c>
    </row>
    <row r="192" spans="37:49" x14ac:dyDescent="0.25">
      <c r="AK192" s="441">
        <v>132</v>
      </c>
      <c r="AL192" s="436" t="str">
        <f t="shared" si="38"/>
        <v/>
      </c>
      <c r="AM192" s="514" t="e">
        <f t="shared" si="36"/>
        <v>#N/A</v>
      </c>
      <c r="AN192" s="514" t="e">
        <f t="shared" si="36"/>
        <v>#N/A</v>
      </c>
      <c r="AO192" s="514" t="e">
        <f t="shared" si="36"/>
        <v>#N/A</v>
      </c>
      <c r="AP192" s="513" t="e">
        <f t="shared" si="36"/>
        <v>#N/A</v>
      </c>
      <c r="AQ192" s="436" t="e">
        <f>NA()</f>
        <v>#N/A</v>
      </c>
      <c r="AR192" s="441"/>
      <c r="AU192" s="514" t="e">
        <f t="shared" si="39"/>
        <v>#N/A</v>
      </c>
      <c r="AV192" s="514" t="e">
        <f t="shared" si="37"/>
        <v>#N/A</v>
      </c>
      <c r="AW192" s="513" t="e">
        <f t="shared" si="37"/>
        <v>#N/A</v>
      </c>
    </row>
    <row r="193" spans="37:49" x14ac:dyDescent="0.25">
      <c r="AK193" s="441">
        <v>133</v>
      </c>
      <c r="AL193" s="436" t="str">
        <f t="shared" si="38"/>
        <v/>
      </c>
      <c r="AM193" s="514" t="e">
        <f t="shared" si="36"/>
        <v>#N/A</v>
      </c>
      <c r="AN193" s="514" t="e">
        <f t="shared" si="36"/>
        <v>#N/A</v>
      </c>
      <c r="AO193" s="514" t="e">
        <f t="shared" si="36"/>
        <v>#N/A</v>
      </c>
      <c r="AP193" s="513" t="e">
        <f t="shared" si="36"/>
        <v>#N/A</v>
      </c>
      <c r="AQ193" s="436" t="e">
        <f>NA()</f>
        <v>#N/A</v>
      </c>
      <c r="AR193" s="441"/>
      <c r="AU193" s="514" t="e">
        <f t="shared" si="39"/>
        <v>#N/A</v>
      </c>
      <c r="AV193" s="514" t="e">
        <f t="shared" si="37"/>
        <v>#N/A</v>
      </c>
      <c r="AW193" s="513" t="e">
        <f t="shared" si="37"/>
        <v>#N/A</v>
      </c>
    </row>
    <row r="194" spans="37:49" x14ac:dyDescent="0.25">
      <c r="AK194" s="441">
        <v>134</v>
      </c>
      <c r="AL194" s="436" t="str">
        <f t="shared" si="38"/>
        <v/>
      </c>
      <c r="AM194" s="514" t="e">
        <f t="shared" si="36"/>
        <v>#N/A</v>
      </c>
      <c r="AN194" s="514" t="e">
        <f t="shared" si="36"/>
        <v>#N/A</v>
      </c>
      <c r="AO194" s="514" t="e">
        <f t="shared" si="36"/>
        <v>#N/A</v>
      </c>
      <c r="AP194" s="513" t="e">
        <f t="shared" si="36"/>
        <v>#N/A</v>
      </c>
      <c r="AQ194" s="436" t="e">
        <f>NA()</f>
        <v>#N/A</v>
      </c>
      <c r="AR194" s="441"/>
      <c r="AU194" s="514" t="e">
        <f t="shared" si="39"/>
        <v>#N/A</v>
      </c>
      <c r="AV194" s="514" t="e">
        <f t="shared" si="37"/>
        <v>#N/A</v>
      </c>
      <c r="AW194" s="513" t="e">
        <f t="shared" si="37"/>
        <v>#N/A</v>
      </c>
    </row>
    <row r="195" spans="37:49" x14ac:dyDescent="0.25">
      <c r="AK195" s="441">
        <v>135</v>
      </c>
      <c r="AL195" s="436" t="str">
        <f t="shared" si="38"/>
        <v/>
      </c>
      <c r="AM195" s="514" t="e">
        <f t="shared" si="36"/>
        <v>#N/A</v>
      </c>
      <c r="AN195" s="514" t="e">
        <f t="shared" si="36"/>
        <v>#N/A</v>
      </c>
      <c r="AO195" s="514" t="e">
        <f t="shared" si="36"/>
        <v>#N/A</v>
      </c>
      <c r="AP195" s="513" t="e">
        <f t="shared" si="36"/>
        <v>#N/A</v>
      </c>
      <c r="AQ195" s="436" t="e">
        <f>NA()</f>
        <v>#N/A</v>
      </c>
      <c r="AR195" s="441"/>
      <c r="AU195" s="514" t="e">
        <f t="shared" si="39"/>
        <v>#N/A</v>
      </c>
      <c r="AV195" s="514" t="e">
        <f t="shared" si="37"/>
        <v>#N/A</v>
      </c>
      <c r="AW195" s="513" t="e">
        <f t="shared" si="37"/>
        <v>#N/A</v>
      </c>
    </row>
    <row r="196" spans="37:49" x14ac:dyDescent="0.25">
      <c r="AK196" s="441">
        <v>136</v>
      </c>
      <c r="AL196" s="436" t="str">
        <f t="shared" si="38"/>
        <v/>
      </c>
      <c r="AM196" s="514" t="e">
        <f t="shared" si="36"/>
        <v>#N/A</v>
      </c>
      <c r="AN196" s="514" t="e">
        <f t="shared" si="36"/>
        <v>#N/A</v>
      </c>
      <c r="AO196" s="514" t="e">
        <f t="shared" si="36"/>
        <v>#N/A</v>
      </c>
      <c r="AP196" s="513" t="e">
        <f t="shared" si="36"/>
        <v>#N/A</v>
      </c>
      <c r="AQ196" s="436" t="e">
        <f>NA()</f>
        <v>#N/A</v>
      </c>
      <c r="AR196" s="441"/>
      <c r="AU196" s="514" t="e">
        <f t="shared" si="39"/>
        <v>#N/A</v>
      </c>
      <c r="AV196" s="514" t="e">
        <f t="shared" si="37"/>
        <v>#N/A</v>
      </c>
      <c r="AW196" s="513" t="e">
        <f t="shared" si="37"/>
        <v>#N/A</v>
      </c>
    </row>
    <row r="197" spans="37:49" x14ac:dyDescent="0.25">
      <c r="AK197" s="441">
        <v>137</v>
      </c>
      <c r="AL197" s="436" t="str">
        <f t="shared" si="38"/>
        <v/>
      </c>
      <c r="AM197" s="514" t="e">
        <f t="shared" si="36"/>
        <v>#N/A</v>
      </c>
      <c r="AN197" s="514" t="e">
        <f t="shared" si="36"/>
        <v>#N/A</v>
      </c>
      <c r="AO197" s="514" t="e">
        <f t="shared" si="36"/>
        <v>#N/A</v>
      </c>
      <c r="AP197" s="513" t="e">
        <f t="shared" si="36"/>
        <v>#N/A</v>
      </c>
      <c r="AQ197" s="436" t="e">
        <f>NA()</f>
        <v>#N/A</v>
      </c>
      <c r="AR197" s="441"/>
      <c r="AU197" s="514" t="e">
        <f t="shared" si="39"/>
        <v>#N/A</v>
      </c>
      <c r="AV197" s="514" t="e">
        <f t="shared" si="37"/>
        <v>#N/A</v>
      </c>
      <c r="AW197" s="513" t="e">
        <f t="shared" si="37"/>
        <v>#N/A</v>
      </c>
    </row>
    <row r="198" spans="37:49" x14ac:dyDescent="0.25">
      <c r="AK198" s="439">
        <v>138</v>
      </c>
      <c r="AL198" s="438" t="str">
        <f t="shared" si="38"/>
        <v/>
      </c>
      <c r="AM198" s="512" t="e">
        <f t="shared" si="36"/>
        <v>#N/A</v>
      </c>
      <c r="AN198" s="512" t="e">
        <f t="shared" si="36"/>
        <v>#N/A</v>
      </c>
      <c r="AO198" s="512" t="e">
        <f t="shared" si="36"/>
        <v>#N/A</v>
      </c>
      <c r="AP198" s="511" t="e">
        <f t="shared" si="36"/>
        <v>#N/A</v>
      </c>
      <c r="AQ198" s="436" t="e">
        <f>NA()</f>
        <v>#N/A</v>
      </c>
      <c r="AR198" s="439"/>
      <c r="AS198" s="438"/>
      <c r="AT198" s="438"/>
      <c r="AU198" s="512" t="e">
        <f t="shared" si="39"/>
        <v>#N/A</v>
      </c>
      <c r="AV198" s="512" t="e">
        <f t="shared" si="37"/>
        <v>#N/A</v>
      </c>
      <c r="AW198" s="511" t="e">
        <f t="shared" si="37"/>
        <v>#N/A</v>
      </c>
    </row>
  </sheetData>
  <mergeCells count="12">
    <mergeCell ref="Q8:Q20"/>
    <mergeCell ref="R8:R20"/>
    <mergeCell ref="O21:O26"/>
    <mergeCell ref="P21:P26"/>
    <mergeCell ref="Q21:Q26"/>
    <mergeCell ref="R21:R26"/>
    <mergeCell ref="P8:P20"/>
    <mergeCell ref="H7:L7"/>
    <mergeCell ref="H8:L8"/>
    <mergeCell ref="H9:L9"/>
    <mergeCell ref="H10:L10"/>
    <mergeCell ref="O8:O20"/>
  </mergeCells>
  <conditionalFormatting sqref="L30">
    <cfRule type="cellIs" dxfId="8" priority="1" operator="equal">
      <formula>1</formula>
    </cfRule>
  </conditionalFormatting>
  <printOptions horizontalCentered="1" verticalCentered="1"/>
  <pageMargins left="0.7" right="0.7" top="0.75" bottom="0.75" header="0.3" footer="0.3"/>
  <pageSetup scale="90" orientation="portrait" r:id="rId1"/>
  <colBreaks count="1" manualBreakCount="1">
    <brk id="14" min="3" max="5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2:AW198"/>
  <sheetViews>
    <sheetView view="pageBreakPreview" zoomScale="60" zoomScaleNormal="100" workbookViewId="0">
      <selection activeCell="AH6" sqref="AH6"/>
    </sheetView>
  </sheetViews>
  <sheetFormatPr defaultColWidth="9.140625" defaultRowHeight="15" x14ac:dyDescent="0.25"/>
  <cols>
    <col min="1" max="3" width="9.140625" style="303"/>
    <col min="4" max="4" width="9.140625" style="303" customWidth="1"/>
    <col min="5" max="5" width="9.140625" style="303"/>
    <col min="6" max="14" width="9.85546875" style="303" customWidth="1"/>
    <col min="15" max="18" width="2.28515625" style="303" customWidth="1"/>
    <col min="19" max="16384" width="9.140625" style="303"/>
  </cols>
  <sheetData>
    <row r="2" spans="1:18" ht="21" x14ac:dyDescent="0.35">
      <c r="F2" s="435" t="s">
        <v>183</v>
      </c>
    </row>
    <row r="3" spans="1:18" x14ac:dyDescent="0.25">
      <c r="F3" s="303" t="s">
        <v>182</v>
      </c>
    </row>
    <row r="4" spans="1:18" x14ac:dyDescent="0.25">
      <c r="E4" s="347"/>
      <c r="F4" s="330"/>
      <c r="G4" s="330"/>
      <c r="H4" s="330"/>
      <c r="I4" s="330"/>
      <c r="J4" s="376" t="e">
        <f>#REF!</f>
        <v>#REF!</v>
      </c>
      <c r="K4" s="330"/>
      <c r="L4" s="330"/>
      <c r="M4" s="330"/>
      <c r="N4" s="329"/>
    </row>
    <row r="5" spans="1:18" x14ac:dyDescent="0.25">
      <c r="E5" s="308"/>
      <c r="J5" s="375" t="e">
        <f>#REF!</f>
        <v>#REF!</v>
      </c>
      <c r="N5" s="307"/>
    </row>
    <row r="6" spans="1:18" x14ac:dyDescent="0.25">
      <c r="E6" s="308"/>
      <c r="N6" s="307"/>
    </row>
    <row r="7" spans="1:18" x14ac:dyDescent="0.25">
      <c r="E7" s="308"/>
      <c r="F7" s="374"/>
      <c r="G7" s="373" t="e">
        <f>#REF!</f>
        <v>#REF!</v>
      </c>
      <c r="H7" s="870" t="e">
        <f>#REF!</f>
        <v>#REF!</v>
      </c>
      <c r="I7" s="870"/>
      <c r="J7" s="870"/>
      <c r="K7" s="870"/>
      <c r="L7" s="871"/>
      <c r="N7" s="307"/>
    </row>
    <row r="8" spans="1:18" ht="15" customHeight="1" x14ac:dyDescent="0.25">
      <c r="E8" s="308"/>
      <c r="F8" s="372"/>
      <c r="G8" s="371" t="e">
        <f>#REF!</f>
        <v>#REF!</v>
      </c>
      <c r="H8" s="872" t="e">
        <f>#REF!</f>
        <v>#REF!</v>
      </c>
      <c r="I8" s="872"/>
      <c r="J8" s="872"/>
      <c r="K8" s="872"/>
      <c r="L8" s="873"/>
      <c r="N8" s="307"/>
      <c r="O8" s="876" t="e">
        <f>#REF!</f>
        <v>#REF!</v>
      </c>
      <c r="P8" s="860" t="e">
        <f>#REF!</f>
        <v>#REF!</v>
      </c>
      <c r="Q8" s="860" t="e">
        <f>#REF!</f>
        <v>#REF!</v>
      </c>
      <c r="R8" s="862" t="e">
        <f>#REF!</f>
        <v>#REF!</v>
      </c>
    </row>
    <row r="9" spans="1:18" x14ac:dyDescent="0.25">
      <c r="E9" s="308"/>
      <c r="F9" s="372"/>
      <c r="G9" s="371" t="e">
        <f>#REF!</f>
        <v>#REF!</v>
      </c>
      <c r="H9" s="872" t="e">
        <f>#REF!</f>
        <v>#REF!</v>
      </c>
      <c r="I9" s="872"/>
      <c r="J9" s="872"/>
      <c r="K9" s="872"/>
      <c r="L9" s="873"/>
      <c r="N9" s="307"/>
      <c r="O9" s="877"/>
      <c r="P9" s="861"/>
      <c r="Q9" s="861"/>
      <c r="R9" s="863"/>
    </row>
    <row r="10" spans="1:18" x14ac:dyDescent="0.25">
      <c r="E10" s="308"/>
      <c r="F10" s="370"/>
      <c r="G10" s="369" t="e">
        <f>#REF!</f>
        <v>#REF!</v>
      </c>
      <c r="H10" s="874" t="e">
        <f>#REF!</f>
        <v>#REF!</v>
      </c>
      <c r="I10" s="874"/>
      <c r="J10" s="874"/>
      <c r="K10" s="874"/>
      <c r="L10" s="875"/>
      <c r="N10" s="307"/>
      <c r="O10" s="877"/>
      <c r="P10" s="861"/>
      <c r="Q10" s="861"/>
      <c r="R10" s="863"/>
    </row>
    <row r="11" spans="1:18" x14ac:dyDescent="0.25">
      <c r="E11" s="308"/>
      <c r="N11" s="307"/>
      <c r="O11" s="877"/>
      <c r="P11" s="861"/>
      <c r="Q11" s="861"/>
      <c r="R11" s="863"/>
    </row>
    <row r="12" spans="1:18" x14ac:dyDescent="0.25">
      <c r="E12" s="308"/>
      <c r="H12" s="368"/>
      <c r="I12" s="332"/>
      <c r="J12" s="434" t="e">
        <f>#REF!</f>
        <v>#REF!</v>
      </c>
      <c r="K12" s="377" t="e">
        <f>#REF!</f>
        <v>#REF!</v>
      </c>
      <c r="L12" s="367" t="e">
        <f>#REF!</f>
        <v>#REF!</v>
      </c>
      <c r="N12" s="307"/>
      <c r="O12" s="877"/>
      <c r="P12" s="861"/>
      <c r="Q12" s="861"/>
      <c r="R12" s="863"/>
    </row>
    <row r="13" spans="1:18" x14ac:dyDescent="0.25">
      <c r="E13" s="366"/>
      <c r="F13" s="347" t="e">
        <f>#REF!</f>
        <v>#REF!</v>
      </c>
      <c r="G13" s="330"/>
      <c r="H13" s="329"/>
      <c r="I13" s="347" t="e">
        <f>#REF!</f>
        <v>#REF!</v>
      </c>
      <c r="J13" s="347" t="e">
        <f>#REF!</f>
        <v>#REF!</v>
      </c>
      <c r="K13" s="329"/>
      <c r="L13" s="347" t="e">
        <f>#REF!</f>
        <v>#REF!</v>
      </c>
      <c r="M13" s="329"/>
      <c r="N13" s="412" t="e">
        <f>#REF!</f>
        <v>#REF!</v>
      </c>
      <c r="O13" s="877"/>
      <c r="P13" s="861"/>
      <c r="Q13" s="861"/>
      <c r="R13" s="863"/>
    </row>
    <row r="14" spans="1:18" x14ac:dyDescent="0.25">
      <c r="E14" s="365"/>
      <c r="F14" s="433" t="e">
        <f>#REF!</f>
        <v>#REF!</v>
      </c>
      <c r="G14" s="324" t="e">
        <f>#REF!</f>
        <v>#REF!</v>
      </c>
      <c r="H14" s="432" t="e">
        <f>#REF!</f>
        <v>#REF!</v>
      </c>
      <c r="I14" s="432" t="e">
        <f>#REF!</f>
        <v>#REF!</v>
      </c>
      <c r="J14" s="433" t="e">
        <f>#REF!</f>
        <v>#REF!</v>
      </c>
      <c r="K14" s="432" t="e">
        <f>#REF!</f>
        <v>#REF!</v>
      </c>
      <c r="L14" s="308" t="e">
        <f>#REF!</f>
        <v>#REF!</v>
      </c>
      <c r="M14" s="307"/>
      <c r="N14" s="431" t="e">
        <f>#REF!</f>
        <v>#REF!</v>
      </c>
      <c r="O14" s="877"/>
      <c r="P14" s="861"/>
      <c r="Q14" s="861"/>
      <c r="R14" s="863"/>
    </row>
    <row r="15" spans="1:18" x14ac:dyDescent="0.25">
      <c r="A15" s="347" t="s">
        <v>181</v>
      </c>
      <c r="B15" s="330"/>
      <c r="C15" s="329"/>
      <c r="E15" s="364" t="e">
        <f>#REF!</f>
        <v>#REF!</v>
      </c>
      <c r="F15" s="363" t="e">
        <f>#REF!</f>
        <v>#REF!</v>
      </c>
      <c r="G15" s="430" t="e">
        <f>#REF!</f>
        <v>#REF!</v>
      </c>
      <c r="H15" s="429" t="e">
        <f>#REF!</f>
        <v>#REF!</v>
      </c>
      <c r="I15" s="429" t="e">
        <f>#REF!</f>
        <v>#REF!</v>
      </c>
      <c r="J15" s="363" t="e">
        <f>#REF!</f>
        <v>#REF!</v>
      </c>
      <c r="K15" s="429" t="e">
        <f>#REF!</f>
        <v>#REF!</v>
      </c>
      <c r="L15" s="363" t="e">
        <f>#REF!</f>
        <v>#REF!</v>
      </c>
      <c r="M15" s="429" t="e">
        <f>#REF!</f>
        <v>#REF!</v>
      </c>
      <c r="N15" s="428" t="e">
        <f>#REF!</f>
        <v>#REF!</v>
      </c>
      <c r="O15" s="877"/>
      <c r="P15" s="861"/>
      <c r="Q15" s="861"/>
      <c r="R15" s="863"/>
    </row>
    <row r="16" spans="1:18" x14ac:dyDescent="0.25">
      <c r="A16" s="308">
        <v>0</v>
      </c>
      <c r="B16" s="303">
        <v>0</v>
      </c>
      <c r="C16" s="380">
        <f t="shared" ref="C16:C28" si="0">1-(A16+B16)/2/100</f>
        <v>1</v>
      </c>
      <c r="D16" s="383" t="e">
        <f>#REF!-#REF!</f>
        <v>#REF!</v>
      </c>
      <c r="E16" s="362" t="e">
        <f>#REF!</f>
        <v>#REF!</v>
      </c>
      <c r="F16" s="426" t="e">
        <f>#REF!</f>
        <v>#REF!</v>
      </c>
      <c r="G16" s="427" t="e">
        <f>#REF!</f>
        <v>#REF!</v>
      </c>
      <c r="H16" s="425" t="e">
        <f>#REF!</f>
        <v>#REF!</v>
      </c>
      <c r="I16" s="425" t="e">
        <f>#REF!</f>
        <v>#REF!</v>
      </c>
      <c r="J16" s="426" t="e">
        <f>#REF!</f>
        <v>#REF!</v>
      </c>
      <c r="K16" s="425" t="e">
        <f>#REF!</f>
        <v>#REF!</v>
      </c>
      <c r="L16" s="361" t="e">
        <f>#REF!</f>
        <v>#REF!</v>
      </c>
      <c r="M16" s="360" t="e">
        <f>#REF!</f>
        <v>#REF!</v>
      </c>
      <c r="N16" s="321" t="e">
        <f>#REF!</f>
        <v>#REF!</v>
      </c>
      <c r="O16" s="877"/>
      <c r="P16" s="861"/>
      <c r="Q16" s="861"/>
      <c r="R16" s="863"/>
    </row>
    <row r="17" spans="1:18" x14ac:dyDescent="0.25">
      <c r="A17" s="308">
        <v>0</v>
      </c>
      <c r="B17" s="303">
        <v>0</v>
      </c>
      <c r="C17" s="380">
        <f t="shared" si="0"/>
        <v>1</v>
      </c>
      <c r="D17" s="383" t="e">
        <f>#REF!-#REF!</f>
        <v>#REF!</v>
      </c>
      <c r="E17" s="359" t="e">
        <f>#REF!</f>
        <v>#REF!</v>
      </c>
      <c r="F17" s="423" t="e">
        <f>#REF!</f>
        <v>#REF!</v>
      </c>
      <c r="G17" s="424" t="e">
        <f>#REF!</f>
        <v>#REF!</v>
      </c>
      <c r="H17" s="422" t="e">
        <f>#REF!</f>
        <v>#REF!</v>
      </c>
      <c r="I17" s="422" t="e">
        <f>#REF!</f>
        <v>#REF!</v>
      </c>
      <c r="J17" s="423" t="e">
        <f>#REF!</f>
        <v>#REF!</v>
      </c>
      <c r="K17" s="422" t="e">
        <f>#REF!</f>
        <v>#REF!</v>
      </c>
      <c r="L17" s="354" t="e">
        <f>#REF!</f>
        <v>#REF!</v>
      </c>
      <c r="M17" s="353" t="e">
        <f>#REF!</f>
        <v>#REF!</v>
      </c>
      <c r="N17" s="312" t="e">
        <f>#REF!</f>
        <v>#REF!</v>
      </c>
      <c r="O17" s="877"/>
      <c r="P17" s="861"/>
      <c r="Q17" s="861"/>
      <c r="R17" s="863"/>
    </row>
    <row r="18" spans="1:18" x14ac:dyDescent="0.25">
      <c r="A18" s="308">
        <v>0</v>
      </c>
      <c r="B18" s="303">
        <v>0</v>
      </c>
      <c r="C18" s="380">
        <f t="shared" si="0"/>
        <v>1</v>
      </c>
      <c r="D18" s="383" t="e">
        <f>#REF!-#REF!</f>
        <v>#REF!</v>
      </c>
      <c r="E18" s="355" t="e">
        <f>#REF!</f>
        <v>#REF!</v>
      </c>
      <c r="F18" s="423" t="e">
        <f>#REF!</f>
        <v>#REF!</v>
      </c>
      <c r="G18" s="424" t="e">
        <f>#REF!</f>
        <v>#REF!</v>
      </c>
      <c r="H18" s="422" t="e">
        <f>#REF!</f>
        <v>#REF!</v>
      </c>
      <c r="I18" s="422" t="e">
        <f>#REF!</f>
        <v>#REF!</v>
      </c>
      <c r="J18" s="423" t="e">
        <f>#REF!</f>
        <v>#REF!</v>
      </c>
      <c r="K18" s="422" t="e">
        <f>#REF!</f>
        <v>#REF!</v>
      </c>
      <c r="L18" s="354" t="e">
        <f>#REF!</f>
        <v>#REF!</v>
      </c>
      <c r="M18" s="353" t="e">
        <f>#REF!</f>
        <v>#REF!</v>
      </c>
      <c r="N18" s="312" t="e">
        <f>#REF!</f>
        <v>#REF!</v>
      </c>
      <c r="O18" s="877"/>
      <c r="P18" s="861"/>
      <c r="Q18" s="861"/>
      <c r="R18" s="863"/>
    </row>
    <row r="19" spans="1:18" x14ac:dyDescent="0.25">
      <c r="A19" s="308">
        <v>0</v>
      </c>
      <c r="B19" s="303">
        <v>0</v>
      </c>
      <c r="C19" s="380">
        <f t="shared" si="0"/>
        <v>1</v>
      </c>
      <c r="D19" s="383" t="e">
        <f>#REF!-#REF!</f>
        <v>#REF!</v>
      </c>
      <c r="E19" s="358" t="e">
        <f>#REF!</f>
        <v>#REF!</v>
      </c>
      <c r="F19" s="423" t="e">
        <f>#REF!</f>
        <v>#REF!</v>
      </c>
      <c r="G19" s="424" t="e">
        <f>#REF!</f>
        <v>#REF!</v>
      </c>
      <c r="H19" s="422" t="e">
        <f>#REF!</f>
        <v>#REF!</v>
      </c>
      <c r="I19" s="422" t="e">
        <f>#REF!</f>
        <v>#REF!</v>
      </c>
      <c r="J19" s="423" t="e">
        <f>#REF!</f>
        <v>#REF!</v>
      </c>
      <c r="K19" s="422" t="e">
        <f>#REF!</f>
        <v>#REF!</v>
      </c>
      <c r="L19" s="354" t="e">
        <f>#REF!</f>
        <v>#REF!</v>
      </c>
      <c r="M19" s="353" t="e">
        <f>#REF!</f>
        <v>#REF!</v>
      </c>
      <c r="N19" s="312" t="e">
        <f>#REF!</f>
        <v>#REF!</v>
      </c>
      <c r="O19" s="877"/>
      <c r="P19" s="861"/>
      <c r="Q19" s="861"/>
      <c r="R19" s="863"/>
    </row>
    <row r="20" spans="1:18" x14ac:dyDescent="0.25">
      <c r="A20" s="308">
        <v>5</v>
      </c>
      <c r="B20" s="303">
        <v>15</v>
      </c>
      <c r="C20" s="380">
        <f t="shared" si="0"/>
        <v>0.9</v>
      </c>
      <c r="D20" s="383" t="e">
        <f>#REF!-#REF!</f>
        <v>#REF!</v>
      </c>
      <c r="E20" s="357" t="e">
        <f>#REF!</f>
        <v>#REF!</v>
      </c>
      <c r="F20" s="423" t="e">
        <f>#REF!</f>
        <v>#REF!</v>
      </c>
      <c r="G20" s="424" t="e">
        <f>#REF!</f>
        <v>#REF!</v>
      </c>
      <c r="H20" s="422" t="e">
        <f>#REF!</f>
        <v>#REF!</v>
      </c>
      <c r="I20" s="422" t="e">
        <f>#REF!</f>
        <v>#REF!</v>
      </c>
      <c r="J20" s="423" t="e">
        <f>#REF!</f>
        <v>#REF!</v>
      </c>
      <c r="K20" s="422" t="e">
        <f>#REF!</f>
        <v>#REF!</v>
      </c>
      <c r="L20" s="354" t="e">
        <f>#REF!</f>
        <v>#REF!</v>
      </c>
      <c r="M20" s="353" t="e">
        <f>#REF!</f>
        <v>#REF!</v>
      </c>
      <c r="N20" s="312" t="e">
        <f>#REF!</f>
        <v>#REF!</v>
      </c>
      <c r="O20" s="877"/>
      <c r="P20" s="861"/>
      <c r="Q20" s="861"/>
      <c r="R20" s="863"/>
    </row>
    <row r="21" spans="1:18" ht="15" customHeight="1" x14ac:dyDescent="0.25">
      <c r="A21" s="308">
        <v>19</v>
      </c>
      <c r="B21" s="303">
        <v>29</v>
      </c>
      <c r="C21" s="380">
        <f t="shared" si="0"/>
        <v>0.76</v>
      </c>
      <c r="D21" s="383" t="e">
        <f>#REF!-#REF!</f>
        <v>#REF!</v>
      </c>
      <c r="E21" s="356" t="e">
        <f>#REF!</f>
        <v>#REF!</v>
      </c>
      <c r="F21" s="423" t="e">
        <f>#REF!</f>
        <v>#REF!</v>
      </c>
      <c r="G21" s="424" t="e">
        <f>#REF!</f>
        <v>#REF!</v>
      </c>
      <c r="H21" s="422" t="e">
        <f>#REF!</f>
        <v>#REF!</v>
      </c>
      <c r="I21" s="422" t="e">
        <f>#REF!</f>
        <v>#REF!</v>
      </c>
      <c r="J21" s="423" t="e">
        <f>#REF!</f>
        <v>#REF!</v>
      </c>
      <c r="K21" s="422" t="e">
        <f>#REF!</f>
        <v>#REF!</v>
      </c>
      <c r="L21" s="354" t="e">
        <f>#REF!</f>
        <v>#REF!</v>
      </c>
      <c r="M21" s="353" t="e">
        <f>#REF!</f>
        <v>#REF!</v>
      </c>
      <c r="N21" s="312" t="e">
        <f>#REF!</f>
        <v>#REF!</v>
      </c>
      <c r="O21" s="864" t="e">
        <f>#REF!</f>
        <v>#REF!</v>
      </c>
      <c r="P21" s="866" t="e">
        <f>#REF!</f>
        <v>#REF!</v>
      </c>
      <c r="Q21" s="866" t="e">
        <f>#REF!</f>
        <v>#REF!</v>
      </c>
      <c r="R21" s="868" t="e">
        <f>#REF!</f>
        <v>#REF!</v>
      </c>
    </row>
    <row r="22" spans="1:18" x14ac:dyDescent="0.25">
      <c r="A22" s="308">
        <v>36</v>
      </c>
      <c r="B22" s="303">
        <v>46</v>
      </c>
      <c r="C22" s="380">
        <f t="shared" si="0"/>
        <v>0.59000000000000008</v>
      </c>
      <c r="D22" s="383" t="e">
        <f>#REF!-#REF!</f>
        <v>#REF!</v>
      </c>
      <c r="E22" s="355" t="e">
        <f>#REF!</f>
        <v>#REF!</v>
      </c>
      <c r="F22" s="423" t="e">
        <f>#REF!</f>
        <v>#REF!</v>
      </c>
      <c r="G22" s="424" t="e">
        <f>#REF!</f>
        <v>#REF!</v>
      </c>
      <c r="H22" s="422" t="e">
        <f>#REF!</f>
        <v>#REF!</v>
      </c>
      <c r="I22" s="422" t="e">
        <f>#REF!</f>
        <v>#REF!</v>
      </c>
      <c r="J22" s="423" t="e">
        <f>#REF!</f>
        <v>#REF!</v>
      </c>
      <c r="K22" s="422" t="e">
        <f>#REF!</f>
        <v>#REF!</v>
      </c>
      <c r="L22" s="354" t="e">
        <f>#REF!</f>
        <v>#REF!</v>
      </c>
      <c r="M22" s="353" t="e">
        <f>#REF!</f>
        <v>#REF!</v>
      </c>
      <c r="N22" s="312" t="e">
        <f>#REF!</f>
        <v>#REF!</v>
      </c>
      <c r="O22" s="864"/>
      <c r="P22" s="866"/>
      <c r="Q22" s="866"/>
      <c r="R22" s="868"/>
    </row>
    <row r="23" spans="1:18" x14ac:dyDescent="0.25">
      <c r="A23" s="308">
        <v>53</v>
      </c>
      <c r="B23" s="303">
        <v>63</v>
      </c>
      <c r="C23" s="380">
        <f t="shared" si="0"/>
        <v>0.42000000000000004</v>
      </c>
      <c r="D23" s="383" t="e">
        <f>#REF!-#REF!</f>
        <v>#REF!</v>
      </c>
      <c r="E23" s="355" t="e">
        <f>#REF!</f>
        <v>#REF!</v>
      </c>
      <c r="F23" s="423" t="e">
        <f>#REF!</f>
        <v>#REF!</v>
      </c>
      <c r="G23" s="424" t="e">
        <f>#REF!</f>
        <v>#REF!</v>
      </c>
      <c r="H23" s="422" t="e">
        <f>#REF!</f>
        <v>#REF!</v>
      </c>
      <c r="I23" s="422" t="e">
        <f>#REF!</f>
        <v>#REF!</v>
      </c>
      <c r="J23" s="423" t="e">
        <f>#REF!</f>
        <v>#REF!</v>
      </c>
      <c r="K23" s="422" t="e">
        <f>#REF!</f>
        <v>#REF!</v>
      </c>
      <c r="L23" s="354" t="e">
        <f>#REF!</f>
        <v>#REF!</v>
      </c>
      <c r="M23" s="353" t="e">
        <f>#REF!</f>
        <v>#REF!</v>
      </c>
      <c r="N23" s="312" t="e">
        <f>#REF!</f>
        <v>#REF!</v>
      </c>
      <c r="O23" s="864"/>
      <c r="P23" s="866"/>
      <c r="Q23" s="866"/>
      <c r="R23" s="868"/>
    </row>
    <row r="24" spans="1:18" x14ac:dyDescent="0.25">
      <c r="A24" s="308">
        <v>67</v>
      </c>
      <c r="B24" s="303">
        <v>77</v>
      </c>
      <c r="C24" s="380">
        <f t="shared" si="0"/>
        <v>0.28000000000000003</v>
      </c>
      <c r="D24" s="383" t="e">
        <f>#REF!-#REF!</f>
        <v>#REF!</v>
      </c>
      <c r="E24" s="355" t="e">
        <f>#REF!</f>
        <v>#REF!</v>
      </c>
      <c r="F24" s="423" t="e">
        <f>#REF!</f>
        <v>#REF!</v>
      </c>
      <c r="G24" s="424" t="e">
        <f>#REF!</f>
        <v>#REF!</v>
      </c>
      <c r="H24" s="422" t="e">
        <f>#REF!</f>
        <v>#REF!</v>
      </c>
      <c r="I24" s="422" t="e">
        <f>#REF!</f>
        <v>#REF!</v>
      </c>
      <c r="J24" s="423" t="e">
        <f>#REF!</f>
        <v>#REF!</v>
      </c>
      <c r="K24" s="422" t="e">
        <f>#REF!</f>
        <v>#REF!</v>
      </c>
      <c r="L24" s="354" t="e">
        <f>#REF!</f>
        <v>#REF!</v>
      </c>
      <c r="M24" s="353" t="e">
        <f>#REF!</f>
        <v>#REF!</v>
      </c>
      <c r="N24" s="312" t="e">
        <f>#REF!</f>
        <v>#REF!</v>
      </c>
      <c r="O24" s="864"/>
      <c r="P24" s="866"/>
      <c r="Q24" s="866"/>
      <c r="R24" s="868"/>
    </row>
    <row r="25" spans="1:18" x14ac:dyDescent="0.25">
      <c r="A25" s="308">
        <v>80</v>
      </c>
      <c r="B25" s="303">
        <v>88</v>
      </c>
      <c r="C25" s="380">
        <f t="shared" si="0"/>
        <v>0.16000000000000003</v>
      </c>
      <c r="D25" s="383" t="e">
        <f>#REF!-#REF!</f>
        <v>#REF!</v>
      </c>
      <c r="E25" s="355" t="e">
        <f>#REF!</f>
        <v>#REF!</v>
      </c>
      <c r="F25" s="423" t="e">
        <f>#REF!</f>
        <v>#REF!</v>
      </c>
      <c r="G25" s="424" t="e">
        <f>#REF!</f>
        <v>#REF!</v>
      </c>
      <c r="H25" s="422" t="e">
        <f>#REF!</f>
        <v>#REF!</v>
      </c>
      <c r="I25" s="422" t="e">
        <f>#REF!</f>
        <v>#REF!</v>
      </c>
      <c r="J25" s="423" t="e">
        <f>#REF!</f>
        <v>#REF!</v>
      </c>
      <c r="K25" s="422" t="e">
        <f>#REF!</f>
        <v>#REF!</v>
      </c>
      <c r="L25" s="354" t="e">
        <f>#REF!</f>
        <v>#REF!</v>
      </c>
      <c r="M25" s="353" t="e">
        <f>#REF!</f>
        <v>#REF!</v>
      </c>
      <c r="N25" s="312" t="e">
        <f>#REF!</f>
        <v>#REF!</v>
      </c>
      <c r="O25" s="864"/>
      <c r="P25" s="866"/>
      <c r="Q25" s="866"/>
      <c r="R25" s="868"/>
    </row>
    <row r="26" spans="1:18" x14ac:dyDescent="0.25">
      <c r="A26" s="308">
        <v>89</v>
      </c>
      <c r="B26" s="303">
        <v>97</v>
      </c>
      <c r="C26" s="380">
        <f t="shared" si="0"/>
        <v>6.9999999999999951E-2</v>
      </c>
      <c r="D26" s="383" t="e">
        <f>#REF!-#REF!</f>
        <v>#REF!</v>
      </c>
      <c r="E26" s="355" t="e">
        <f>#REF!</f>
        <v>#REF!</v>
      </c>
      <c r="F26" s="423" t="e">
        <f>#REF!</f>
        <v>#REF!</v>
      </c>
      <c r="G26" s="424" t="e">
        <f>#REF!</f>
        <v>#REF!</v>
      </c>
      <c r="H26" s="422" t="e">
        <f>#REF!</f>
        <v>#REF!</v>
      </c>
      <c r="I26" s="422" t="e">
        <f>#REF!</f>
        <v>#REF!</v>
      </c>
      <c r="J26" s="423" t="e">
        <f>#REF!</f>
        <v>#REF!</v>
      </c>
      <c r="K26" s="422" t="e">
        <f>#REF!</f>
        <v>#REF!</v>
      </c>
      <c r="L26" s="354" t="e">
        <f>#REF!</f>
        <v>#REF!</v>
      </c>
      <c r="M26" s="353" t="e">
        <f>#REF!</f>
        <v>#REF!</v>
      </c>
      <c r="N26" s="312" t="e">
        <f>#REF!</f>
        <v>#REF!</v>
      </c>
      <c r="O26" s="865"/>
      <c r="P26" s="867"/>
      <c r="Q26" s="867"/>
      <c r="R26" s="869"/>
    </row>
    <row r="27" spans="1:18" x14ac:dyDescent="0.25">
      <c r="A27" s="308">
        <v>95</v>
      </c>
      <c r="B27" s="303">
        <v>100</v>
      </c>
      <c r="C27" s="380">
        <f t="shared" si="0"/>
        <v>2.5000000000000022E-2</v>
      </c>
      <c r="D27" s="383" t="e">
        <f>#REF!-#REF!</f>
        <v>#REF!</v>
      </c>
      <c r="E27" s="355" t="e">
        <f>#REF!</f>
        <v>#REF!</v>
      </c>
      <c r="F27" s="423" t="e">
        <f>#REF!</f>
        <v>#REF!</v>
      </c>
      <c r="G27" s="424" t="e">
        <f>#REF!</f>
        <v>#REF!</v>
      </c>
      <c r="H27" s="422" t="e">
        <f>#REF!</f>
        <v>#REF!</v>
      </c>
      <c r="I27" s="422" t="e">
        <f>#REF!</f>
        <v>#REF!</v>
      </c>
      <c r="J27" s="423" t="e">
        <f>#REF!</f>
        <v>#REF!</v>
      </c>
      <c r="K27" s="422" t="e">
        <f>#REF!</f>
        <v>#REF!</v>
      </c>
      <c r="L27" s="354" t="e">
        <f>#REF!</f>
        <v>#REF!</v>
      </c>
      <c r="M27" s="353" t="e">
        <f>#REF!</f>
        <v>#REF!</v>
      </c>
      <c r="N27" s="312" t="e">
        <f>#REF!</f>
        <v>#REF!</v>
      </c>
      <c r="O27" s="319"/>
      <c r="P27" s="319"/>
      <c r="Q27" s="319"/>
      <c r="R27" s="319"/>
    </row>
    <row r="28" spans="1:18" x14ac:dyDescent="0.25">
      <c r="A28" s="306">
        <v>98</v>
      </c>
      <c r="B28" s="305">
        <v>100</v>
      </c>
      <c r="C28" s="378">
        <f t="shared" si="0"/>
        <v>1.0000000000000009E-2</v>
      </c>
      <c r="D28" s="383" t="e">
        <f>#REF!-#REF!</f>
        <v>#REF!</v>
      </c>
      <c r="E28" s="355" t="e">
        <f>#REF!</f>
        <v>#REF!</v>
      </c>
      <c r="F28" s="423" t="e">
        <f>#REF!</f>
        <v>#REF!</v>
      </c>
      <c r="G28" s="424" t="e">
        <f>#REF!</f>
        <v>#REF!</v>
      </c>
      <c r="H28" s="422" t="e">
        <f>#REF!</f>
        <v>#REF!</v>
      </c>
      <c r="I28" s="422" t="e">
        <f>#REF!</f>
        <v>#REF!</v>
      </c>
      <c r="J28" s="423" t="e">
        <f>#REF!</f>
        <v>#REF!</v>
      </c>
      <c r="K28" s="422" t="e">
        <f>#REF!</f>
        <v>#REF!</v>
      </c>
      <c r="L28" s="354" t="e">
        <f>#REF!</f>
        <v>#REF!</v>
      </c>
      <c r="M28" s="353" t="e">
        <f>#REF!</f>
        <v>#REF!</v>
      </c>
      <c r="N28" s="312" t="e">
        <f>#REF!</f>
        <v>#REF!</v>
      </c>
      <c r="O28" s="319"/>
      <c r="P28" s="319"/>
      <c r="Q28" s="319"/>
      <c r="R28" s="319"/>
    </row>
    <row r="29" spans="1:18" x14ac:dyDescent="0.25">
      <c r="E29" s="352" t="e">
        <f>#REF!</f>
        <v>#REF!</v>
      </c>
      <c r="F29" s="420" t="e">
        <f>#REF!</f>
        <v>#REF!</v>
      </c>
      <c r="G29" s="421" t="e">
        <f>#REF!</f>
        <v>#REF!</v>
      </c>
      <c r="H29" s="419" t="e">
        <f>#REF!</f>
        <v>#REF!</v>
      </c>
      <c r="I29" s="419" t="e">
        <f>#REF!</f>
        <v>#REF!</v>
      </c>
      <c r="J29" s="420" t="e">
        <f>#REF!</f>
        <v>#REF!</v>
      </c>
      <c r="K29" s="419" t="e">
        <f>#REF!</f>
        <v>#REF!</v>
      </c>
      <c r="L29" s="351" t="e">
        <f>#REF!</f>
        <v>#REF!</v>
      </c>
      <c r="M29" s="350" t="e">
        <f>#REF!</f>
        <v>#REF!</v>
      </c>
      <c r="N29" s="309" t="e">
        <f>#REF!</f>
        <v>#REF!</v>
      </c>
      <c r="O29" s="319"/>
      <c r="P29" s="319"/>
      <c r="Q29" s="319"/>
      <c r="R29" s="319"/>
    </row>
    <row r="30" spans="1:18" x14ac:dyDescent="0.25">
      <c r="E30" s="349" t="e">
        <f>#REF!</f>
        <v>#REF!</v>
      </c>
      <c r="F30" s="417" t="e">
        <f>#REF!</f>
        <v>#REF!</v>
      </c>
      <c r="G30" s="418" t="e">
        <f>#REF!</f>
        <v>#REF!</v>
      </c>
      <c r="H30" s="416" t="e">
        <f>#REF!</f>
        <v>#REF!</v>
      </c>
      <c r="I30" s="416" t="e">
        <f>#REF!</f>
        <v>#REF!</v>
      </c>
      <c r="J30" s="417" t="e">
        <f>#REF!</f>
        <v>#REF!</v>
      </c>
      <c r="K30" s="416" t="e">
        <f>#REF!</f>
        <v>#REF!</v>
      </c>
      <c r="L30" s="348" t="e">
        <f>#REF!</f>
        <v>#REF!</v>
      </c>
      <c r="N30" s="307"/>
    </row>
    <row r="31" spans="1:18" x14ac:dyDescent="0.25">
      <c r="E31" s="308"/>
      <c r="G31" s="347"/>
      <c r="H31" s="330"/>
      <c r="I31" s="346" t="e">
        <f>#REF!</f>
        <v>#REF!</v>
      </c>
      <c r="J31" s="345" t="e">
        <f>#REF!</f>
        <v>#REF!</v>
      </c>
      <c r="K31" s="344" t="e">
        <f>#REF!</f>
        <v>#REF!</v>
      </c>
      <c r="L31" s="330"/>
      <c r="M31" s="330"/>
      <c r="N31" s="329"/>
    </row>
    <row r="32" spans="1:18" x14ac:dyDescent="0.25">
      <c r="E32" s="308"/>
      <c r="G32" s="343"/>
      <c r="H32" s="339"/>
      <c r="I32" s="342" t="e">
        <f>#REF!</f>
        <v>#REF!</v>
      </c>
      <c r="J32" s="341" t="e">
        <f>#REF!</f>
        <v>#REF!</v>
      </c>
      <c r="K32" s="340" t="e">
        <f>#REF!</f>
        <v>#REF!</v>
      </c>
      <c r="L32" s="339"/>
      <c r="M32" s="339"/>
      <c r="N32" s="338"/>
    </row>
    <row r="33" spans="5:49" ht="15.75" x14ac:dyDescent="0.25">
      <c r="E33" s="308"/>
      <c r="G33" s="337"/>
      <c r="H33" s="334"/>
      <c r="I33" s="334"/>
      <c r="J33" s="336" t="e">
        <f>#REF!</f>
        <v>#REF!</v>
      </c>
      <c r="K33" s="335" t="e">
        <f>#REF!</f>
        <v>#REF!</v>
      </c>
      <c r="L33" s="334"/>
      <c r="M33" s="334"/>
      <c r="N33" s="333"/>
      <c r="O33" s="415"/>
      <c r="P33" s="415"/>
      <c r="Q33" s="415"/>
      <c r="R33" s="415"/>
    </row>
    <row r="34" spans="5:49" x14ac:dyDescent="0.25">
      <c r="E34" s="308"/>
      <c r="N34" s="307"/>
    </row>
    <row r="35" spans="5:49" x14ac:dyDescent="0.25">
      <c r="E35" s="308"/>
      <c r="J35" s="331" t="e">
        <f>#REF!</f>
        <v>#REF!</v>
      </c>
      <c r="K35" s="330"/>
      <c r="L35" s="330"/>
      <c r="M35" s="329"/>
      <c r="N35" s="307"/>
    </row>
    <row r="36" spans="5:49" x14ac:dyDescent="0.25">
      <c r="E36" s="308"/>
      <c r="J36" s="306"/>
      <c r="K36" s="305"/>
      <c r="L36" s="328" t="e">
        <f>#REF!</f>
        <v>#REF!</v>
      </c>
      <c r="M36" s="327" t="e">
        <f>#REF!</f>
        <v>#REF!</v>
      </c>
      <c r="N36" s="307"/>
    </row>
    <row r="37" spans="5:49" x14ac:dyDescent="0.25">
      <c r="E37" s="308"/>
      <c r="J37" s="414" t="e">
        <f>#REF!</f>
        <v>#REF!</v>
      </c>
      <c r="K37" s="326" t="e">
        <f>#REF!</f>
        <v>#REF!</v>
      </c>
      <c r="L37" s="325" t="e">
        <f>#REF!</f>
        <v>#REF!</v>
      </c>
      <c r="M37" s="414" t="e">
        <f>#REF!</f>
        <v>#REF!</v>
      </c>
      <c r="N37" s="307"/>
      <c r="U37" s="324"/>
      <c r="V37" s="324"/>
    </row>
    <row r="38" spans="5:49" x14ac:dyDescent="0.25">
      <c r="E38" s="308"/>
      <c r="J38" s="323" t="e">
        <f>#REF!</f>
        <v>#REF!</v>
      </c>
      <c r="K38" s="322" t="e">
        <f>#REF!</f>
        <v>#REF!</v>
      </c>
      <c r="L38" s="321" t="e">
        <f>#REF!</f>
        <v>#REF!</v>
      </c>
      <c r="M38" s="321" t="e">
        <f>#REF!</f>
        <v>#REF!</v>
      </c>
      <c r="N38" s="307"/>
      <c r="T38" s="318"/>
      <c r="U38" s="395"/>
      <c r="V38" s="395"/>
      <c r="AE38" s="347"/>
      <c r="AF38" s="413" t="s">
        <v>180</v>
      </c>
      <c r="AG38" s="412" t="str">
        <f>VLOOKUP(MAX(AE43:AE56),AD43:AH56,4)</f>
        <v>Pan</v>
      </c>
      <c r="AO38" s="347" t="s">
        <v>179</v>
      </c>
      <c r="AP38" s="329" t="e">
        <f>1/AG39</f>
        <v>#DIV/0!</v>
      </c>
      <c r="AR38" s="347"/>
      <c r="AS38" s="330"/>
      <c r="AT38" s="330"/>
      <c r="AU38" s="330"/>
      <c r="AV38" s="347" t="s">
        <v>179</v>
      </c>
      <c r="AW38" s="329" t="e">
        <f>SLOPE(AT43:AT56,AR43:AR56)</f>
        <v>#REF!</v>
      </c>
    </row>
    <row r="39" spans="5:49" x14ac:dyDescent="0.25">
      <c r="E39" s="308"/>
      <c r="J39" s="320" t="e">
        <f>#REF!</f>
        <v>#REF!</v>
      </c>
      <c r="K39" s="313" t="e">
        <f>#REF!</f>
        <v>#REF!</v>
      </c>
      <c r="L39" s="312" t="e">
        <f>#REF!</f>
        <v>#REF!</v>
      </c>
      <c r="M39" s="312" t="e">
        <f>#REF!</f>
        <v>#REF!</v>
      </c>
      <c r="N39" s="307"/>
      <c r="T39" s="318"/>
      <c r="U39" s="395"/>
      <c r="V39" s="395"/>
      <c r="AE39" s="306"/>
      <c r="AF39" s="411" t="s">
        <v>164</v>
      </c>
      <c r="AG39" s="410">
        <f>VLOOKUP(MAX(AE43:AE56),AD43:AH56,5)</f>
        <v>0</v>
      </c>
      <c r="AO39" s="308" t="s">
        <v>178</v>
      </c>
      <c r="AP39" s="307">
        <v>0</v>
      </c>
      <c r="AR39" s="308"/>
      <c r="AV39" s="308" t="s">
        <v>178</v>
      </c>
      <c r="AW39" s="307" t="e">
        <f>INTERCEPT(AT43:AT56,AR43:AR56)</f>
        <v>#REF!</v>
      </c>
    </row>
    <row r="40" spans="5:49" x14ac:dyDescent="0.25">
      <c r="E40" s="308"/>
      <c r="J40" s="314" t="e">
        <f>#REF!</f>
        <v>#REF!</v>
      </c>
      <c r="K40" s="313" t="e">
        <f>#REF!</f>
        <v>#REF!</v>
      </c>
      <c r="L40" s="312" t="e">
        <f>#REF!</f>
        <v>#REF!</v>
      </c>
      <c r="M40" s="312" t="e">
        <f>#REF!</f>
        <v>#REF!</v>
      </c>
      <c r="N40" s="307"/>
      <c r="T40" s="318"/>
      <c r="AF40" s="303" t="str">
        <f>"Nominal Maximum Size = "&amp;AG38</f>
        <v>Nominal Maximum Size = Pan</v>
      </c>
      <c r="AO40" s="306" t="s">
        <v>176</v>
      </c>
      <c r="AP40" s="388">
        <v>7.0000000000000007E-2</v>
      </c>
      <c r="AR40" s="409" t="s">
        <v>177</v>
      </c>
      <c r="AV40" s="306" t="s">
        <v>176</v>
      </c>
      <c r="AW40" s="378">
        <v>7.0000000000000007E-2</v>
      </c>
    </row>
    <row r="41" spans="5:49" x14ac:dyDescent="0.25">
      <c r="E41" s="308"/>
      <c r="J41" s="317" t="e">
        <f>#REF!</f>
        <v>#REF!</v>
      </c>
      <c r="K41" s="313" t="e">
        <f>#REF!</f>
        <v>#REF!</v>
      </c>
      <c r="L41" s="312" t="e">
        <f>#REF!</f>
        <v>#REF!</v>
      </c>
      <c r="M41" s="312" t="e">
        <f>#REF!</f>
        <v>#REF!</v>
      </c>
      <c r="N41" s="307"/>
      <c r="AD41" s="368" t="s">
        <v>175</v>
      </c>
      <c r="AE41" s="332"/>
      <c r="AF41" s="332"/>
      <c r="AG41" s="332"/>
      <c r="AH41" s="367"/>
      <c r="AK41" s="408">
        <v>1</v>
      </c>
      <c r="AR41" s="308"/>
      <c r="AW41" s="307"/>
    </row>
    <row r="42" spans="5:49" x14ac:dyDescent="0.25">
      <c r="E42" s="308"/>
      <c r="J42" s="316" t="e">
        <f>#REF!</f>
        <v>#REF!</v>
      </c>
      <c r="K42" s="313" t="e">
        <f>#REF!</f>
        <v>#REF!</v>
      </c>
      <c r="L42" s="312" t="e">
        <f>#REF!</f>
        <v>#REF!</v>
      </c>
      <c r="M42" s="312" t="e">
        <f>#REF!</f>
        <v>#REF!</v>
      </c>
      <c r="N42" s="307"/>
      <c r="AD42" s="306" t="s">
        <v>174</v>
      </c>
      <c r="AE42" s="305" t="s">
        <v>173</v>
      </c>
      <c r="AF42" s="386" t="e">
        <f>AM42</f>
        <v>#REF!</v>
      </c>
      <c r="AG42" s="386" t="str">
        <f>AL42</f>
        <v>Mesh</v>
      </c>
      <c r="AH42" s="407" t="s">
        <v>164</v>
      </c>
      <c r="AK42" s="347"/>
      <c r="AL42" s="330" t="str">
        <f>AD59</f>
        <v>Mesh</v>
      </c>
      <c r="AM42" s="406" t="e">
        <f>#REF!</f>
        <v>#REF!</v>
      </c>
      <c r="AN42" s="330" t="s">
        <v>172</v>
      </c>
      <c r="AO42" s="330" t="s">
        <v>155</v>
      </c>
      <c r="AP42" s="329" t="s">
        <v>154</v>
      </c>
      <c r="AQ42" s="303" t="s">
        <v>82</v>
      </c>
      <c r="AR42" s="308">
        <f>ROUND((AG39-$AH$74)*$AK$41,0)</f>
        <v>0</v>
      </c>
      <c r="AS42" s="330" t="str">
        <f>AD59</f>
        <v>Mesh</v>
      </c>
      <c r="AT42" s="406" t="e">
        <f>#REF!</f>
        <v>#REF!</v>
      </c>
      <c r="AU42" s="330" t="s">
        <v>171</v>
      </c>
      <c r="AV42" s="330" t="s">
        <v>155</v>
      </c>
      <c r="AW42" s="329" t="s">
        <v>154</v>
      </c>
    </row>
    <row r="43" spans="5:49" x14ac:dyDescent="0.25">
      <c r="E43" s="308"/>
      <c r="J43" s="315" t="e">
        <f>#REF!</f>
        <v>#REF!</v>
      </c>
      <c r="K43" s="313" t="e">
        <f>#REF!</f>
        <v>#REF!</v>
      </c>
      <c r="L43" s="312" t="e">
        <f>#REF!</f>
        <v>#REF!</v>
      </c>
      <c r="M43" s="312" t="e">
        <f>#REF!</f>
        <v>#REF!</v>
      </c>
      <c r="N43" s="307"/>
      <c r="AD43" s="347">
        <v>1</v>
      </c>
      <c r="AE43" s="330">
        <v>1</v>
      </c>
      <c r="AF43" s="405" t="e">
        <f>AM56</f>
        <v>#REF!</v>
      </c>
      <c r="AG43" s="405" t="str">
        <f>AL56</f>
        <v>Pan</v>
      </c>
      <c r="AH43" s="404">
        <f>AH74</f>
        <v>0</v>
      </c>
      <c r="AK43" s="308">
        <f t="shared" ref="AK43:AK56" si="1">ROUND((AH61-$AH$74)*$AK$41,0)</f>
        <v>131</v>
      </c>
      <c r="AL43" s="303" t="str">
        <f t="shared" ref="AL43:AL56" si="2">AD61</f>
        <v>2 in.</v>
      </c>
      <c r="AM43" s="319" t="e">
        <f>IF(#REF!=1,NA(),#REF!)</f>
        <v>#REF!</v>
      </c>
      <c r="AN43" s="319" t="e">
        <f t="shared" ref="AN43:AN55" si="3">IF(AL43=$AG$38,1,NA())</f>
        <v>#N/A</v>
      </c>
      <c r="AO43" s="319" t="e">
        <f>AP38*AK43-AP40</f>
        <v>#DIV/0!</v>
      </c>
      <c r="AP43" s="400" t="e">
        <f>AP38*AK43+AP40</f>
        <v>#DIV/0!</v>
      </c>
      <c r="AR43" s="308" t="str">
        <f t="shared" ref="AR43:AR56" si="4">IF(AK43&gt;$AR$42,"",AK43)</f>
        <v/>
      </c>
      <c r="AT43" s="319" t="str">
        <f t="shared" ref="AT43:AT56" si="5">IF(AK43&gt;$AR$42,"",AM43)</f>
        <v/>
      </c>
      <c r="AU43" s="319" t="e">
        <f>AK43*$AW$38+$AW$39</f>
        <v>#REF!</v>
      </c>
      <c r="AV43" s="319" t="e">
        <f>AU43-$AW$40</f>
        <v>#REF!</v>
      </c>
      <c r="AW43" s="400" t="str">
        <f t="shared" ref="AW43:AW56" si="6">IF(ISNUMBER(AU43),AU43+$AW$40,"")</f>
        <v/>
      </c>
    </row>
    <row r="44" spans="5:49" x14ac:dyDescent="0.25">
      <c r="E44" s="308"/>
      <c r="J44" s="314" t="e">
        <f>#REF!</f>
        <v>#REF!</v>
      </c>
      <c r="K44" s="313" t="e">
        <f>#REF!</f>
        <v>#REF!</v>
      </c>
      <c r="L44" s="312" t="e">
        <f>#REF!</f>
        <v>#REF!</v>
      </c>
      <c r="M44" s="312" t="e">
        <f>#REF!</f>
        <v>#REF!</v>
      </c>
      <c r="N44" s="307"/>
      <c r="AD44" s="308">
        <v>2</v>
      </c>
      <c r="AE44" s="303">
        <f t="shared" ref="AE44:AE56" si="7">IF(ISNUMBER(AF44),IF(AF43&lt;=0.9,AE43+1,0),0)</f>
        <v>0</v>
      </c>
      <c r="AF44" s="383" t="e">
        <f>AM55</f>
        <v>#REF!</v>
      </c>
      <c r="AG44" s="383" t="str">
        <f>AL55</f>
        <v>No. 200</v>
      </c>
      <c r="AH44" s="403">
        <f>AH73</f>
        <v>6.9367217454368229</v>
      </c>
      <c r="AK44" s="308">
        <f t="shared" si="1"/>
        <v>115</v>
      </c>
      <c r="AL44" s="303" t="str">
        <f t="shared" si="2"/>
        <v>1 1/2 in.</v>
      </c>
      <c r="AM44" s="319" t="e">
        <f>IF(#REF!=1,NA(),#REF!)</f>
        <v>#REF!</v>
      </c>
      <c r="AN44" s="319" t="e">
        <f t="shared" si="3"/>
        <v>#N/A</v>
      </c>
      <c r="AO44" s="319" t="e">
        <f t="shared" ref="AO44:AO56" si="8">IF(ISNA(AN44),NA(),AN44-$AP$40)</f>
        <v>#N/A</v>
      </c>
      <c r="AP44" s="400" t="e">
        <f t="shared" ref="AP44:AP56" si="9">IF(ISNA(AN44),NA(),AN44+$AP$40)</f>
        <v>#N/A</v>
      </c>
      <c r="AR44" s="308" t="str">
        <f t="shared" si="4"/>
        <v/>
      </c>
      <c r="AT44" s="319" t="str">
        <f t="shared" si="5"/>
        <v/>
      </c>
      <c r="AU44" s="319" t="e">
        <f>AK44*$AW$38+$AW$39</f>
        <v>#REF!</v>
      </c>
      <c r="AV44" s="319" t="e">
        <f>AU44-$AW$40</f>
        <v>#REF!</v>
      </c>
      <c r="AW44" s="400" t="str">
        <f t="shared" si="6"/>
        <v/>
      </c>
    </row>
    <row r="45" spans="5:49" x14ac:dyDescent="0.25">
      <c r="E45" s="308"/>
      <c r="J45" s="314" t="e">
        <f>#REF!</f>
        <v>#REF!</v>
      </c>
      <c r="K45" s="313" t="e">
        <f>#REF!</f>
        <v>#REF!</v>
      </c>
      <c r="L45" s="312" t="e">
        <f>#REF!</f>
        <v>#REF!</v>
      </c>
      <c r="M45" s="312" t="e">
        <f>#REF!</f>
        <v>#REF!</v>
      </c>
      <c r="N45" s="307"/>
      <c r="AD45" s="308">
        <v>3</v>
      </c>
      <c r="AE45" s="303">
        <f t="shared" si="7"/>
        <v>0</v>
      </c>
      <c r="AF45" s="383" t="e">
        <f>AM54</f>
        <v>#REF!</v>
      </c>
      <c r="AG45" s="383" t="str">
        <f>AL54</f>
        <v>No. 100</v>
      </c>
      <c r="AH45" s="403">
        <f>AH72</f>
        <v>9.5045994842303667</v>
      </c>
      <c r="AK45" s="308">
        <f t="shared" si="1"/>
        <v>96</v>
      </c>
      <c r="AL45" s="303" t="str">
        <f t="shared" si="2"/>
        <v>1 in.</v>
      </c>
      <c r="AM45" s="319" t="e">
        <f>IF(#REF!=1,NA(),#REF!)</f>
        <v>#REF!</v>
      </c>
      <c r="AN45" s="319" t="e">
        <f t="shared" si="3"/>
        <v>#N/A</v>
      </c>
      <c r="AO45" s="319" t="e">
        <f t="shared" si="8"/>
        <v>#N/A</v>
      </c>
      <c r="AP45" s="400" t="e">
        <f t="shared" si="9"/>
        <v>#N/A</v>
      </c>
      <c r="AR45" s="308" t="str">
        <f t="shared" si="4"/>
        <v/>
      </c>
      <c r="AT45" s="319" t="str">
        <f t="shared" si="5"/>
        <v/>
      </c>
      <c r="AU45" s="319" t="e">
        <f>AK45*$AW$38+$AW$39</f>
        <v>#REF!</v>
      </c>
      <c r="AV45" s="319" t="e">
        <f>AU45-$AW$40</f>
        <v>#REF!</v>
      </c>
      <c r="AW45" s="400" t="str">
        <f t="shared" si="6"/>
        <v/>
      </c>
    </row>
    <row r="46" spans="5:49" x14ac:dyDescent="0.25">
      <c r="E46" s="308"/>
      <c r="J46" s="314" t="e">
        <f>#REF!</f>
        <v>#REF!</v>
      </c>
      <c r="K46" s="313" t="e">
        <f>#REF!</f>
        <v>#REF!</v>
      </c>
      <c r="L46" s="312" t="e">
        <f>#REF!</f>
        <v>#REF!</v>
      </c>
      <c r="M46" s="312" t="e">
        <f>#REF!</f>
        <v>#REF!</v>
      </c>
      <c r="N46" s="307"/>
      <c r="AD46" s="308">
        <v>4</v>
      </c>
      <c r="AE46" s="303">
        <f t="shared" si="7"/>
        <v>0</v>
      </c>
      <c r="AF46" s="383" t="e">
        <f>AM53</f>
        <v>#REF!</v>
      </c>
      <c r="AG46" s="383" t="str">
        <f>AL53</f>
        <v>No. 50</v>
      </c>
      <c r="AH46" s="403">
        <f>AH71</f>
        <v>12.964041189051768</v>
      </c>
      <c r="AK46" s="308">
        <f t="shared" si="1"/>
        <v>84</v>
      </c>
      <c r="AL46" s="303" t="str">
        <f t="shared" si="2"/>
        <v>3/4 in.</v>
      </c>
      <c r="AM46" s="319" t="e">
        <f>IF(#REF!=1,NA(),#REF!)</f>
        <v>#REF!</v>
      </c>
      <c r="AN46" s="319" t="e">
        <f t="shared" si="3"/>
        <v>#N/A</v>
      </c>
      <c r="AO46" s="319" t="e">
        <f t="shared" si="8"/>
        <v>#N/A</v>
      </c>
      <c r="AP46" s="400" t="e">
        <f t="shared" si="9"/>
        <v>#N/A</v>
      </c>
      <c r="AR46" s="308" t="str">
        <f t="shared" si="4"/>
        <v/>
      </c>
      <c r="AT46" s="319" t="str">
        <f t="shared" si="5"/>
        <v/>
      </c>
      <c r="AU46" s="319" t="e">
        <f>AK46*$AW$38+$AW$39</f>
        <v>#REF!</v>
      </c>
      <c r="AV46" s="319" t="e">
        <f>AU46-$AW$40</f>
        <v>#REF!</v>
      </c>
      <c r="AW46" s="400" t="str">
        <f t="shared" si="6"/>
        <v/>
      </c>
    </row>
    <row r="47" spans="5:49" x14ac:dyDescent="0.25">
      <c r="E47" s="308"/>
      <c r="J47" s="314" t="e">
        <f>#REF!</f>
        <v>#REF!</v>
      </c>
      <c r="K47" s="313" t="e">
        <f>#REF!</f>
        <v>#REF!</v>
      </c>
      <c r="L47" s="312" t="e">
        <f>#REF!</f>
        <v>#REF!</v>
      </c>
      <c r="M47" s="312" t="e">
        <f>#REF!</f>
        <v>#REF!</v>
      </c>
      <c r="N47" s="307"/>
      <c r="AD47" s="308">
        <v>5</v>
      </c>
      <c r="AE47" s="303">
        <f t="shared" si="7"/>
        <v>0</v>
      </c>
      <c r="AF47" s="383" t="e">
        <f>AM52</f>
        <v>#REF!</v>
      </c>
      <c r="AG47" s="383" t="str">
        <f>AL52</f>
        <v>No. 30</v>
      </c>
      <c r="AH47" s="403">
        <f>AH70</f>
        <v>17.722812162406921</v>
      </c>
      <c r="AK47" s="308">
        <f t="shared" si="1"/>
        <v>70</v>
      </c>
      <c r="AL47" s="303" t="str">
        <f t="shared" si="2"/>
        <v>1/2 in.</v>
      </c>
      <c r="AM47" s="319" t="e">
        <f>IF(#REF!=1,NA(),#REF!)</f>
        <v>#REF!</v>
      </c>
      <c r="AN47" s="319" t="e">
        <f t="shared" si="3"/>
        <v>#N/A</v>
      </c>
      <c r="AO47" s="319" t="e">
        <f t="shared" si="8"/>
        <v>#N/A</v>
      </c>
      <c r="AP47" s="400" t="e">
        <f t="shared" si="9"/>
        <v>#N/A</v>
      </c>
      <c r="AR47" s="308" t="str">
        <f t="shared" si="4"/>
        <v/>
      </c>
      <c r="AT47" s="319" t="str">
        <f t="shared" si="5"/>
        <v/>
      </c>
      <c r="AU47" s="319" t="e">
        <f t="shared" ref="AU47:AU56" si="10">AR47*$AW$38+$AW$39</f>
        <v>#VALUE!</v>
      </c>
      <c r="AV47" s="319" t="str">
        <f t="shared" ref="AV47:AV56" si="11">IF(ISNUMBER(AU47),AU47-$AW$40,"")</f>
        <v/>
      </c>
      <c r="AW47" s="400" t="str">
        <f t="shared" si="6"/>
        <v/>
      </c>
    </row>
    <row r="48" spans="5:49" x14ac:dyDescent="0.25">
      <c r="E48" s="308"/>
      <c r="J48" s="314" t="e">
        <f>#REF!</f>
        <v>#REF!</v>
      </c>
      <c r="K48" s="313" t="e">
        <f>#REF!</f>
        <v>#REF!</v>
      </c>
      <c r="L48" s="312" t="e">
        <f>#REF!</f>
        <v>#REF!</v>
      </c>
      <c r="M48" s="312" t="e">
        <f>#REF!</f>
        <v>#REF!</v>
      </c>
      <c r="N48" s="307"/>
      <c r="AD48" s="308">
        <v>6</v>
      </c>
      <c r="AE48" s="303">
        <f t="shared" si="7"/>
        <v>0</v>
      </c>
      <c r="AF48" s="383" t="e">
        <f>AM51</f>
        <v>#REF!</v>
      </c>
      <c r="AG48" s="383" t="str">
        <f>AL51</f>
        <v>No. 16</v>
      </c>
      <c r="AH48" s="403">
        <f>AH69</f>
        <v>24.210074876744265</v>
      </c>
      <c r="AK48" s="308">
        <f t="shared" si="1"/>
        <v>62</v>
      </c>
      <c r="AL48" s="303" t="str">
        <f t="shared" si="2"/>
        <v>3/8 in.</v>
      </c>
      <c r="AM48" s="319" t="e">
        <f>IF(#REF!=1,NA(),#REF!)</f>
        <v>#REF!</v>
      </c>
      <c r="AN48" s="319" t="e">
        <f t="shared" si="3"/>
        <v>#N/A</v>
      </c>
      <c r="AO48" s="319" t="e">
        <f t="shared" si="8"/>
        <v>#N/A</v>
      </c>
      <c r="AP48" s="400" t="e">
        <f t="shared" si="9"/>
        <v>#N/A</v>
      </c>
      <c r="AR48" s="308" t="str">
        <f t="shared" si="4"/>
        <v/>
      </c>
      <c r="AT48" s="319" t="str">
        <f t="shared" si="5"/>
        <v/>
      </c>
      <c r="AU48" s="319" t="e">
        <f t="shared" si="10"/>
        <v>#VALUE!</v>
      </c>
      <c r="AV48" s="319" t="str">
        <f t="shared" si="11"/>
        <v/>
      </c>
      <c r="AW48" s="400" t="str">
        <f t="shared" si="6"/>
        <v/>
      </c>
    </row>
    <row r="49" spans="5:49" x14ac:dyDescent="0.25">
      <c r="E49" s="308"/>
      <c r="J49" s="314" t="e">
        <f>#REF!</f>
        <v>#REF!</v>
      </c>
      <c r="K49" s="313" t="e">
        <f>#REF!</f>
        <v>#REF!</v>
      </c>
      <c r="L49" s="312" t="e">
        <f>#REF!</f>
        <v>#REF!</v>
      </c>
      <c r="M49" s="312" t="e">
        <f>#REF!</f>
        <v>#REF!</v>
      </c>
      <c r="N49" s="307"/>
      <c r="AD49" s="308">
        <v>7</v>
      </c>
      <c r="AE49" s="303">
        <f t="shared" si="7"/>
        <v>0</v>
      </c>
      <c r="AF49" s="383" t="e">
        <f>AM50</f>
        <v>#REF!</v>
      </c>
      <c r="AG49" s="383" t="str">
        <f>AL50</f>
        <v>No. 8</v>
      </c>
      <c r="AH49" s="403">
        <f>AH68</f>
        <v>33.071936900670877</v>
      </c>
      <c r="AK49" s="308">
        <f t="shared" si="1"/>
        <v>45</v>
      </c>
      <c r="AL49" s="303" t="str">
        <f t="shared" si="2"/>
        <v>No. 4</v>
      </c>
      <c r="AM49" s="319" t="e">
        <f>IF(#REF!=1,NA(),#REF!)</f>
        <v>#REF!</v>
      </c>
      <c r="AN49" s="319" t="e">
        <f t="shared" si="3"/>
        <v>#N/A</v>
      </c>
      <c r="AO49" s="319" t="e">
        <f t="shared" si="8"/>
        <v>#N/A</v>
      </c>
      <c r="AP49" s="400" t="e">
        <f t="shared" si="9"/>
        <v>#N/A</v>
      </c>
      <c r="AR49" s="308" t="str">
        <f t="shared" si="4"/>
        <v/>
      </c>
      <c r="AT49" s="319" t="str">
        <f t="shared" si="5"/>
        <v/>
      </c>
      <c r="AU49" s="319" t="e">
        <f t="shared" si="10"/>
        <v>#VALUE!</v>
      </c>
      <c r="AV49" s="319" t="str">
        <f t="shared" si="11"/>
        <v/>
      </c>
      <c r="AW49" s="400" t="str">
        <f t="shared" si="6"/>
        <v/>
      </c>
    </row>
    <row r="50" spans="5:49" x14ac:dyDescent="0.25">
      <c r="E50" s="308"/>
      <c r="J50" s="314" t="e">
        <f>#REF!</f>
        <v>#REF!</v>
      </c>
      <c r="K50" s="313" t="e">
        <f>#REF!</f>
        <v>#REF!</v>
      </c>
      <c r="L50" s="312" t="e">
        <f>#REF!</f>
        <v>#REF!</v>
      </c>
      <c r="M50" s="312" t="e">
        <f>#REF!</f>
        <v>#REF!</v>
      </c>
      <c r="N50" s="307"/>
      <c r="AD50" s="308">
        <v>8</v>
      </c>
      <c r="AE50" s="303">
        <f t="shared" si="7"/>
        <v>0</v>
      </c>
      <c r="AF50" s="383" t="e">
        <f>AM49</f>
        <v>#REF!</v>
      </c>
      <c r="AG50" s="383" t="str">
        <f>AL49</f>
        <v>No. 4</v>
      </c>
      <c r="AH50" s="403">
        <f>AH67</f>
        <v>45.177597175157636</v>
      </c>
      <c r="AK50" s="308">
        <f t="shared" si="1"/>
        <v>33</v>
      </c>
      <c r="AL50" s="303" t="str">
        <f t="shared" si="2"/>
        <v>No. 8</v>
      </c>
      <c r="AM50" s="319" t="e">
        <f>IF(#REF!=1,NA(),#REF!)</f>
        <v>#REF!</v>
      </c>
      <c r="AN50" s="319" t="e">
        <f t="shared" si="3"/>
        <v>#N/A</v>
      </c>
      <c r="AO50" s="319" t="e">
        <f t="shared" si="8"/>
        <v>#N/A</v>
      </c>
      <c r="AP50" s="400" t="e">
        <f t="shared" si="9"/>
        <v>#N/A</v>
      </c>
      <c r="AR50" s="308" t="str">
        <f t="shared" si="4"/>
        <v/>
      </c>
      <c r="AT50" s="319" t="str">
        <f t="shared" si="5"/>
        <v/>
      </c>
      <c r="AU50" s="319" t="e">
        <f t="shared" si="10"/>
        <v>#VALUE!</v>
      </c>
      <c r="AV50" s="319" t="str">
        <f t="shared" si="11"/>
        <v/>
      </c>
      <c r="AW50" s="400" t="str">
        <f t="shared" si="6"/>
        <v/>
      </c>
    </row>
    <row r="51" spans="5:49" x14ac:dyDescent="0.25">
      <c r="E51" s="308"/>
      <c r="F51" s="303" t="e">
        <f>#REF!</f>
        <v>#REF!</v>
      </c>
      <c r="J51" s="311" t="e">
        <f>#REF!</f>
        <v>#REF!</v>
      </c>
      <c r="K51" s="310" t="e">
        <f>#REF!</f>
        <v>#REF!</v>
      </c>
      <c r="L51" s="309" t="e">
        <f>#REF!</f>
        <v>#REF!</v>
      </c>
      <c r="M51" s="309" t="e">
        <f>#REF!</f>
        <v>#REF!</v>
      </c>
      <c r="N51" s="307"/>
      <c r="AD51" s="308">
        <v>9</v>
      </c>
      <c r="AE51" s="303">
        <f t="shared" si="7"/>
        <v>0</v>
      </c>
      <c r="AF51" s="383" t="e">
        <f>AM48</f>
        <v>#REF!</v>
      </c>
      <c r="AG51" s="383" t="str">
        <f>AL48</f>
        <v>3/8 in.</v>
      </c>
      <c r="AH51" s="403">
        <f>AH66</f>
        <v>61.685236282952467</v>
      </c>
      <c r="AK51" s="308">
        <f t="shared" si="1"/>
        <v>24</v>
      </c>
      <c r="AL51" s="303" t="str">
        <f t="shared" si="2"/>
        <v>No. 16</v>
      </c>
      <c r="AM51" s="319" t="e">
        <f>IF(#REF!=1,NA(),#REF!)</f>
        <v>#REF!</v>
      </c>
      <c r="AN51" s="319" t="e">
        <f t="shared" si="3"/>
        <v>#N/A</v>
      </c>
      <c r="AO51" s="319" t="e">
        <f t="shared" si="8"/>
        <v>#N/A</v>
      </c>
      <c r="AP51" s="400" t="e">
        <f t="shared" si="9"/>
        <v>#N/A</v>
      </c>
      <c r="AR51" s="308" t="str">
        <f t="shared" si="4"/>
        <v/>
      </c>
      <c r="AT51" s="319" t="str">
        <f t="shared" si="5"/>
        <v/>
      </c>
      <c r="AU51" s="319" t="e">
        <f t="shared" si="10"/>
        <v>#VALUE!</v>
      </c>
      <c r="AV51" s="319" t="str">
        <f t="shared" si="11"/>
        <v/>
      </c>
      <c r="AW51" s="400" t="str">
        <f t="shared" si="6"/>
        <v/>
      </c>
    </row>
    <row r="52" spans="5:49" x14ac:dyDescent="0.25">
      <c r="E52" s="306"/>
      <c r="F52" s="305"/>
      <c r="G52" s="305"/>
      <c r="H52" s="305"/>
      <c r="I52" s="305"/>
      <c r="J52" s="305"/>
      <c r="K52" s="305"/>
      <c r="L52" s="305"/>
      <c r="M52" s="305"/>
      <c r="N52" s="304"/>
      <c r="AD52" s="308">
        <v>10</v>
      </c>
      <c r="AE52" s="303">
        <f t="shared" si="7"/>
        <v>0</v>
      </c>
      <c r="AF52" s="383" t="e">
        <f>AM47</f>
        <v>#REF!</v>
      </c>
      <c r="AG52" s="383" t="str">
        <f>AL47</f>
        <v>1/2 in.</v>
      </c>
      <c r="AH52" s="403">
        <f>AH65</f>
        <v>70.260570918450924</v>
      </c>
      <c r="AK52" s="308">
        <f t="shared" si="1"/>
        <v>18</v>
      </c>
      <c r="AL52" s="303" t="str">
        <f t="shared" si="2"/>
        <v>No. 30</v>
      </c>
      <c r="AM52" s="319" t="e">
        <f>IF(#REF!=1,NA(),#REF!)</f>
        <v>#REF!</v>
      </c>
      <c r="AN52" s="319" t="e">
        <f t="shared" si="3"/>
        <v>#N/A</v>
      </c>
      <c r="AO52" s="319" t="e">
        <f t="shared" si="8"/>
        <v>#N/A</v>
      </c>
      <c r="AP52" s="400" t="e">
        <f t="shared" si="9"/>
        <v>#N/A</v>
      </c>
      <c r="AR52" s="308" t="str">
        <f t="shared" si="4"/>
        <v/>
      </c>
      <c r="AT52" s="319" t="str">
        <f t="shared" si="5"/>
        <v/>
      </c>
      <c r="AU52" s="319" t="e">
        <f t="shared" si="10"/>
        <v>#VALUE!</v>
      </c>
      <c r="AV52" s="319" t="str">
        <f t="shared" si="11"/>
        <v/>
      </c>
      <c r="AW52" s="400" t="str">
        <f t="shared" si="6"/>
        <v/>
      </c>
    </row>
    <row r="53" spans="5:49" x14ac:dyDescent="0.25">
      <c r="AD53" s="308">
        <v>11</v>
      </c>
      <c r="AE53" s="303">
        <f t="shared" si="7"/>
        <v>0</v>
      </c>
      <c r="AF53" s="383" t="e">
        <f>AM46</f>
        <v>#REF!</v>
      </c>
      <c r="AG53" s="383" t="str">
        <f>AL46</f>
        <v>3/4 in.</v>
      </c>
      <c r="AH53" s="403">
        <f>AH64</f>
        <v>84.224631674288489</v>
      </c>
      <c r="AK53" s="308">
        <f t="shared" si="1"/>
        <v>13</v>
      </c>
      <c r="AL53" s="303" t="str">
        <f t="shared" si="2"/>
        <v>No. 50</v>
      </c>
      <c r="AM53" s="319" t="e">
        <f>IF(#REF!=1,NA(),#REF!)</f>
        <v>#REF!</v>
      </c>
      <c r="AN53" s="319" t="e">
        <f t="shared" si="3"/>
        <v>#N/A</v>
      </c>
      <c r="AO53" s="319" t="e">
        <f t="shared" si="8"/>
        <v>#N/A</v>
      </c>
      <c r="AP53" s="400" t="e">
        <f t="shared" si="9"/>
        <v>#N/A</v>
      </c>
      <c r="AR53" s="308" t="str">
        <f t="shared" si="4"/>
        <v/>
      </c>
      <c r="AT53" s="319" t="str">
        <f t="shared" si="5"/>
        <v/>
      </c>
      <c r="AU53" s="319" t="e">
        <f t="shared" si="10"/>
        <v>#VALUE!</v>
      </c>
      <c r="AV53" s="319" t="str">
        <f t="shared" si="11"/>
        <v/>
      </c>
      <c r="AW53" s="400" t="str">
        <f t="shared" si="6"/>
        <v/>
      </c>
    </row>
    <row r="54" spans="5:49" x14ac:dyDescent="0.25">
      <c r="AD54" s="308">
        <v>12</v>
      </c>
      <c r="AE54" s="303">
        <f t="shared" si="7"/>
        <v>0</v>
      </c>
      <c r="AF54" s="383" t="e">
        <f>AM45</f>
        <v>#REF!</v>
      </c>
      <c r="AG54" s="383" t="str">
        <f>AL45</f>
        <v>1 in.</v>
      </c>
      <c r="AH54" s="403">
        <f>AH63</f>
        <v>95.978768337151067</v>
      </c>
      <c r="AK54" s="308">
        <f t="shared" si="1"/>
        <v>10</v>
      </c>
      <c r="AL54" s="303" t="str">
        <f t="shared" si="2"/>
        <v>No. 100</v>
      </c>
      <c r="AM54" s="319" t="e">
        <f>IF(#REF!=1,NA(),#REF!)</f>
        <v>#REF!</v>
      </c>
      <c r="AN54" s="319" t="e">
        <f t="shared" si="3"/>
        <v>#N/A</v>
      </c>
      <c r="AO54" s="319" t="e">
        <f t="shared" si="8"/>
        <v>#N/A</v>
      </c>
      <c r="AP54" s="400" t="e">
        <f t="shared" si="9"/>
        <v>#N/A</v>
      </c>
      <c r="AR54" s="308" t="str">
        <f t="shared" si="4"/>
        <v/>
      </c>
      <c r="AT54" s="319" t="str">
        <f t="shared" si="5"/>
        <v/>
      </c>
      <c r="AU54" s="319" t="e">
        <f t="shared" si="10"/>
        <v>#VALUE!</v>
      </c>
      <c r="AV54" s="319" t="str">
        <f t="shared" si="11"/>
        <v/>
      </c>
      <c r="AW54" s="400" t="str">
        <f t="shared" si="6"/>
        <v/>
      </c>
    </row>
    <row r="55" spans="5:49" x14ac:dyDescent="0.25">
      <c r="AD55" s="308">
        <v>13</v>
      </c>
      <c r="AE55" s="303">
        <f t="shared" si="7"/>
        <v>0</v>
      </c>
      <c r="AF55" s="383" t="e">
        <f>AM44</f>
        <v>#REF!</v>
      </c>
      <c r="AG55" s="383" t="str">
        <f>AL44</f>
        <v>1 1/2 in.</v>
      </c>
      <c r="AH55" s="403">
        <f>AH62</f>
        <v>115.19038744950137</v>
      </c>
      <c r="AK55" s="308">
        <f t="shared" si="1"/>
        <v>7</v>
      </c>
      <c r="AL55" s="303" t="str">
        <f t="shared" si="2"/>
        <v>No. 200</v>
      </c>
      <c r="AM55" s="319" t="e">
        <f>IF(#REF!=1,NA(),#REF!)</f>
        <v>#REF!</v>
      </c>
      <c r="AN55" s="319" t="e">
        <f t="shared" si="3"/>
        <v>#N/A</v>
      </c>
      <c r="AO55" s="319" t="e">
        <f t="shared" si="8"/>
        <v>#N/A</v>
      </c>
      <c r="AP55" s="400" t="e">
        <f t="shared" si="9"/>
        <v>#N/A</v>
      </c>
      <c r="AR55" s="308" t="str">
        <f t="shared" si="4"/>
        <v/>
      </c>
      <c r="AT55" s="319" t="str">
        <f t="shared" si="5"/>
        <v/>
      </c>
      <c r="AU55" s="319" t="e">
        <f t="shared" si="10"/>
        <v>#VALUE!</v>
      </c>
      <c r="AV55" s="319" t="str">
        <f t="shared" si="11"/>
        <v/>
      </c>
      <c r="AW55" s="400" t="str">
        <f t="shared" si="6"/>
        <v/>
      </c>
    </row>
    <row r="56" spans="5:49" x14ac:dyDescent="0.25">
      <c r="AD56" s="306">
        <v>14</v>
      </c>
      <c r="AE56" s="305">
        <f t="shared" si="7"/>
        <v>0</v>
      </c>
      <c r="AF56" s="386" t="e">
        <f>AM43</f>
        <v>#REF!</v>
      </c>
      <c r="AG56" s="386" t="str">
        <f>AL43</f>
        <v>2 in.</v>
      </c>
      <c r="AH56" s="402">
        <f>AH61</f>
        <v>131.11086134225255</v>
      </c>
      <c r="AK56" s="306">
        <f t="shared" si="1"/>
        <v>0</v>
      </c>
      <c r="AL56" s="305" t="str">
        <f t="shared" si="2"/>
        <v>Pan</v>
      </c>
      <c r="AM56" s="401" t="e">
        <f>#REF!</f>
        <v>#REF!</v>
      </c>
      <c r="AN56" s="401">
        <v>0</v>
      </c>
      <c r="AO56" s="379">
        <f t="shared" si="8"/>
        <v>-7.0000000000000007E-2</v>
      </c>
      <c r="AP56" s="378">
        <f t="shared" si="9"/>
        <v>7.0000000000000007E-2</v>
      </c>
      <c r="AR56" s="308">
        <f t="shared" si="4"/>
        <v>0</v>
      </c>
      <c r="AT56" s="319" t="e">
        <f t="shared" si="5"/>
        <v>#REF!</v>
      </c>
      <c r="AU56" s="319" t="e">
        <f t="shared" si="10"/>
        <v>#REF!</v>
      </c>
      <c r="AV56" s="319" t="str">
        <f t="shared" si="11"/>
        <v/>
      </c>
      <c r="AW56" s="400" t="str">
        <f t="shared" si="6"/>
        <v/>
      </c>
    </row>
    <row r="57" spans="5:49" x14ac:dyDescent="0.25">
      <c r="AR57" s="308"/>
      <c r="AW57" s="307"/>
    </row>
    <row r="58" spans="5:49" x14ac:dyDescent="0.25">
      <c r="I58" s="318" t="s">
        <v>170</v>
      </c>
      <c r="J58" s="395" t="e">
        <f>I67/I68</f>
        <v>#REF!</v>
      </c>
      <c r="AD58" s="368" t="s">
        <v>169</v>
      </c>
      <c r="AE58" s="332"/>
      <c r="AF58" s="332"/>
      <c r="AG58" s="332"/>
      <c r="AH58" s="332"/>
      <c r="AI58" s="367"/>
      <c r="AR58" s="308"/>
      <c r="AW58" s="307"/>
    </row>
    <row r="59" spans="5:49" x14ac:dyDescent="0.25">
      <c r="AD59" s="347" t="s">
        <v>168</v>
      </c>
      <c r="AE59" s="330" t="s">
        <v>167</v>
      </c>
      <c r="AF59" s="330" t="s">
        <v>166</v>
      </c>
      <c r="AG59" s="330" t="s">
        <v>165</v>
      </c>
      <c r="AH59" s="399" t="s">
        <v>164</v>
      </c>
      <c r="AI59" s="398" t="s">
        <v>163</v>
      </c>
      <c r="AL59" s="303">
        <v>2</v>
      </c>
      <c r="AM59" s="303">
        <v>3</v>
      </c>
      <c r="AN59" s="303">
        <v>4</v>
      </c>
      <c r="AO59" s="303">
        <v>5</v>
      </c>
      <c r="AP59" s="303">
        <v>6</v>
      </c>
      <c r="AR59" s="308"/>
      <c r="AU59" s="303">
        <v>11</v>
      </c>
      <c r="AV59" s="303">
        <v>12</v>
      </c>
      <c r="AW59" s="307">
        <v>13</v>
      </c>
    </row>
    <row r="60" spans="5:49" x14ac:dyDescent="0.25">
      <c r="H60" s="303" t="s">
        <v>162</v>
      </c>
      <c r="AD60" s="303" t="s">
        <v>161</v>
      </c>
      <c r="AE60" s="303" t="s">
        <v>160</v>
      </c>
      <c r="AG60" s="303" t="s">
        <v>159</v>
      </c>
      <c r="AK60" s="347">
        <v>0</v>
      </c>
      <c r="AL60" s="330" t="str">
        <f t="shared" ref="AL60:AL91" si="12">IF(ISNA(VLOOKUP($AK60,$AK$43:$AP$56,AL$59,FALSE)),"",VLOOKUP($AK60,$AK$43:$AP$56,AL$59,FALSE))</f>
        <v>Pan</v>
      </c>
      <c r="AM60" s="397" t="e">
        <f t="shared" ref="AM60:AP79" si="13">IF(ISBLANK(VLOOKUP($AK60,$AK$43:$AP$56,AM$59,FALSE)),NA(),VLOOKUP($AK60,$AK$43:$AP$56,AM$59,FALSE))</f>
        <v>#REF!</v>
      </c>
      <c r="AN60" s="397">
        <f t="shared" si="13"/>
        <v>0</v>
      </c>
      <c r="AO60" s="397">
        <f t="shared" si="13"/>
        <v>-7.0000000000000007E-2</v>
      </c>
      <c r="AP60" s="396">
        <f t="shared" si="13"/>
        <v>7.0000000000000007E-2</v>
      </c>
      <c r="AQ60" s="303" t="e">
        <f>NA()</f>
        <v>#N/A</v>
      </c>
      <c r="AR60" s="308"/>
      <c r="AU60" s="397" t="e">
        <f>IF(ISBLANK(VLOOKUP($AK60,$AK$43:$AW$56,AU$59,FALSE)),NA(),VLOOKUP($AK60,$AK$43:$AW$56,AU$59,FALSE))</f>
        <v>#REF!</v>
      </c>
      <c r="AV60" s="397" t="str">
        <f>IF(ISBLANK(VLOOKUP($AK60,$AK$43:$AW$56,AV$59,FALSE)),NA(),VLOOKUP($AK60,$AK$43:$AW$56,AV$59,FALSE))</f>
        <v/>
      </c>
      <c r="AW60" s="396" t="str">
        <f>IF(ISBLANK(VLOOKUP($AK60,$AK$43:$AW$56,AW$59,FALSE)),NA(),VLOOKUP($AK60,$AK$43:$AW$56,AW$59,FALSE))</f>
        <v/>
      </c>
    </row>
    <row r="61" spans="5:49" x14ac:dyDescent="0.25">
      <c r="I61" s="318" t="s">
        <v>158</v>
      </c>
      <c r="J61" s="395" t="e">
        <f>I69+2.5*(I70-564)/94/100</f>
        <v>#REF!</v>
      </c>
      <c r="AD61" s="347" t="s">
        <v>78</v>
      </c>
      <c r="AE61" s="330">
        <v>2</v>
      </c>
      <c r="AF61" s="330">
        <v>50.8</v>
      </c>
      <c r="AG61" s="330">
        <v>50800</v>
      </c>
      <c r="AH61" s="394">
        <f t="shared" ref="AH61:AH74" si="14">AG61^0.45</f>
        <v>131.11086134225255</v>
      </c>
      <c r="AI61" s="329">
        <f t="shared" ref="AI61:AI74" si="15">LOG(AH61)</f>
        <v>2.1176386705277639</v>
      </c>
      <c r="AK61" s="308">
        <v>1</v>
      </c>
      <c r="AL61" s="303" t="str">
        <f t="shared" si="12"/>
        <v/>
      </c>
      <c r="AM61" s="381" t="e">
        <f t="shared" si="13"/>
        <v>#N/A</v>
      </c>
      <c r="AN61" s="381" t="e">
        <f t="shared" si="13"/>
        <v>#N/A</v>
      </c>
      <c r="AO61" s="381" t="e">
        <f t="shared" si="13"/>
        <v>#N/A</v>
      </c>
      <c r="AP61" s="380" t="e">
        <f t="shared" si="13"/>
        <v>#N/A</v>
      </c>
      <c r="AQ61" s="303" t="e">
        <f>NA()</f>
        <v>#N/A</v>
      </c>
      <c r="AR61" s="308"/>
      <c r="AU61" s="381" t="e">
        <f t="shared" ref="AU61:AU92" si="16">IF(ISBLANK(VLOOKUP($AK61,$AK$43:$AU$56,AU$59,FALSE)),NA(),VLOOKUP($AK61,$AK$43:$AU$56,AU$59,FALSE))</f>
        <v>#N/A</v>
      </c>
      <c r="AV61" s="381" t="e">
        <f t="shared" ref="AV61:AW80" si="17">IF(ISBLANK(VLOOKUP($AK61,$AK$43:$AW$56,AV$59,FALSE)),NA(),VLOOKUP($AK61,$AK$43:$AW$56,AV$59,FALSE))</f>
        <v>#N/A</v>
      </c>
      <c r="AW61" s="380" t="e">
        <f t="shared" si="17"/>
        <v>#N/A</v>
      </c>
    </row>
    <row r="62" spans="5:49" x14ac:dyDescent="0.25">
      <c r="T62" s="347" t="s">
        <v>157</v>
      </c>
      <c r="U62" s="329"/>
      <c r="AD62" s="308" t="s">
        <v>77</v>
      </c>
      <c r="AE62" s="303">
        <v>1.5</v>
      </c>
      <c r="AF62" s="303">
        <v>38.099999999999994</v>
      </c>
      <c r="AG62" s="303">
        <v>38100</v>
      </c>
      <c r="AH62" s="392">
        <f t="shared" si="14"/>
        <v>115.19038744950137</v>
      </c>
      <c r="AI62" s="307">
        <f t="shared" si="15"/>
        <v>2.0614162390540285</v>
      </c>
      <c r="AK62" s="308">
        <v>2</v>
      </c>
      <c r="AL62" s="303" t="str">
        <f t="shared" si="12"/>
        <v/>
      </c>
      <c r="AM62" s="381" t="e">
        <f t="shared" si="13"/>
        <v>#N/A</v>
      </c>
      <c r="AN62" s="381" t="e">
        <f t="shared" si="13"/>
        <v>#N/A</v>
      </c>
      <c r="AO62" s="381" t="e">
        <f t="shared" si="13"/>
        <v>#N/A</v>
      </c>
      <c r="AP62" s="380" t="e">
        <f t="shared" si="13"/>
        <v>#N/A</v>
      </c>
      <c r="AQ62" s="303" t="e">
        <f>NA()</f>
        <v>#N/A</v>
      </c>
      <c r="AR62" s="308"/>
      <c r="AU62" s="381" t="e">
        <f t="shared" si="16"/>
        <v>#N/A</v>
      </c>
      <c r="AV62" s="381" t="e">
        <f t="shared" si="17"/>
        <v>#N/A</v>
      </c>
      <c r="AW62" s="380" t="e">
        <f t="shared" si="17"/>
        <v>#N/A</v>
      </c>
    </row>
    <row r="63" spans="5:49" x14ac:dyDescent="0.25">
      <c r="H63" s="303" t="s">
        <v>156</v>
      </c>
      <c r="T63" s="308" t="s">
        <v>112</v>
      </c>
      <c r="U63" s="307" t="s">
        <v>111</v>
      </c>
      <c r="AD63" s="308" t="s">
        <v>76</v>
      </c>
      <c r="AE63" s="303">
        <v>1</v>
      </c>
      <c r="AF63" s="303">
        <v>25.4</v>
      </c>
      <c r="AG63" s="303">
        <v>25400</v>
      </c>
      <c r="AH63" s="392">
        <f t="shared" si="14"/>
        <v>95.978768337151067</v>
      </c>
      <c r="AI63" s="307">
        <f t="shared" si="15"/>
        <v>1.9821751724789722</v>
      </c>
      <c r="AK63" s="308">
        <v>3</v>
      </c>
      <c r="AL63" s="303" t="str">
        <f t="shared" si="12"/>
        <v/>
      </c>
      <c r="AM63" s="381" t="e">
        <f t="shared" si="13"/>
        <v>#N/A</v>
      </c>
      <c r="AN63" s="381" t="e">
        <f t="shared" si="13"/>
        <v>#N/A</v>
      </c>
      <c r="AO63" s="381" t="e">
        <f t="shared" si="13"/>
        <v>#N/A</v>
      </c>
      <c r="AP63" s="380" t="e">
        <f t="shared" si="13"/>
        <v>#N/A</v>
      </c>
      <c r="AQ63" s="303" t="e">
        <f>NA()</f>
        <v>#N/A</v>
      </c>
      <c r="AR63" s="308"/>
      <c r="AU63" s="381" t="e">
        <f t="shared" si="16"/>
        <v>#N/A</v>
      </c>
      <c r="AV63" s="381" t="e">
        <f t="shared" si="17"/>
        <v>#N/A</v>
      </c>
      <c r="AW63" s="380" t="e">
        <f t="shared" si="17"/>
        <v>#N/A</v>
      </c>
    </row>
    <row r="64" spans="5:49" x14ac:dyDescent="0.25">
      <c r="T64" s="308" t="s">
        <v>144</v>
      </c>
      <c r="U64" s="307"/>
      <c r="W64" s="347" t="s">
        <v>82</v>
      </c>
      <c r="X64" s="330" t="s">
        <v>92</v>
      </c>
      <c r="Y64" s="330" t="s">
        <v>155</v>
      </c>
      <c r="Z64" s="329" t="s">
        <v>154</v>
      </c>
      <c r="AD64" s="308" t="s">
        <v>75</v>
      </c>
      <c r="AE64" s="303">
        <v>0.75</v>
      </c>
      <c r="AF64" s="303">
        <v>19</v>
      </c>
      <c r="AG64" s="303">
        <v>19000</v>
      </c>
      <c r="AH64" s="392">
        <f t="shared" si="14"/>
        <v>84.224631674288489</v>
      </c>
      <c r="AI64" s="307">
        <f t="shared" si="15"/>
        <v>1.9254391204287729</v>
      </c>
      <c r="AK64" s="308">
        <v>4</v>
      </c>
      <c r="AL64" s="303" t="str">
        <f t="shared" si="12"/>
        <v/>
      </c>
      <c r="AM64" s="381" t="e">
        <f t="shared" si="13"/>
        <v>#N/A</v>
      </c>
      <c r="AN64" s="381" t="e">
        <f t="shared" si="13"/>
        <v>#N/A</v>
      </c>
      <c r="AO64" s="381" t="e">
        <f t="shared" si="13"/>
        <v>#N/A</v>
      </c>
      <c r="AP64" s="380" t="e">
        <f t="shared" si="13"/>
        <v>#N/A</v>
      </c>
      <c r="AQ64" s="303" t="e">
        <f>NA()</f>
        <v>#N/A</v>
      </c>
      <c r="AR64" s="308"/>
      <c r="AU64" s="381" t="e">
        <f t="shared" si="16"/>
        <v>#N/A</v>
      </c>
      <c r="AV64" s="381" t="e">
        <f t="shared" si="17"/>
        <v>#N/A</v>
      </c>
      <c r="AW64" s="380" t="e">
        <f t="shared" si="17"/>
        <v>#N/A</v>
      </c>
    </row>
    <row r="65" spans="6:49" x14ac:dyDescent="0.25">
      <c r="I65" s="303" t="e">
        <f>"CF = "&amp;TEXT(J58,"##.#%")&amp;",   WF = "&amp;TEXT(J61,"##.#%")</f>
        <v>#REF!</v>
      </c>
      <c r="L65" s="324"/>
      <c r="T65" s="385">
        <f>T69</f>
        <v>0.52</v>
      </c>
      <c r="U65" s="384">
        <f>U69</f>
        <v>0.34</v>
      </c>
      <c r="W65" s="308" t="s">
        <v>78</v>
      </c>
      <c r="X65" s="383" t="e">
        <f t="shared" ref="X65:Z72" si="18">IF(X80=0,NA(),X79)</f>
        <v>#REF!</v>
      </c>
      <c r="Y65" s="383" t="e">
        <f t="shared" si="18"/>
        <v>#N/A</v>
      </c>
      <c r="Z65" s="390" t="e">
        <f t="shared" si="18"/>
        <v>#REF!</v>
      </c>
      <c r="AD65" s="308" t="s">
        <v>74</v>
      </c>
      <c r="AE65" s="303">
        <v>0.5</v>
      </c>
      <c r="AF65" s="303">
        <v>12.7</v>
      </c>
      <c r="AG65" s="303">
        <v>12700</v>
      </c>
      <c r="AH65" s="392">
        <f t="shared" si="14"/>
        <v>70.260570918450924</v>
      </c>
      <c r="AI65" s="307">
        <f t="shared" si="15"/>
        <v>1.846711674430181</v>
      </c>
      <c r="AK65" s="308">
        <v>5</v>
      </c>
      <c r="AL65" s="303" t="str">
        <f t="shared" si="12"/>
        <v/>
      </c>
      <c r="AM65" s="381" t="e">
        <f t="shared" si="13"/>
        <v>#N/A</v>
      </c>
      <c r="AN65" s="381" t="e">
        <f t="shared" si="13"/>
        <v>#N/A</v>
      </c>
      <c r="AO65" s="381" t="e">
        <f t="shared" si="13"/>
        <v>#N/A</v>
      </c>
      <c r="AP65" s="380" t="e">
        <f t="shared" si="13"/>
        <v>#N/A</v>
      </c>
      <c r="AQ65" s="303" t="e">
        <f>NA()</f>
        <v>#N/A</v>
      </c>
      <c r="AR65" s="308"/>
      <c r="AU65" s="381" t="e">
        <f t="shared" si="16"/>
        <v>#N/A</v>
      </c>
      <c r="AV65" s="381" t="e">
        <f t="shared" si="17"/>
        <v>#N/A</v>
      </c>
      <c r="AW65" s="380" t="e">
        <f t="shared" si="17"/>
        <v>#N/A</v>
      </c>
    </row>
    <row r="66" spans="6:49" x14ac:dyDescent="0.25">
      <c r="T66" s="385">
        <f>G123</f>
        <v>0.52</v>
      </c>
      <c r="U66" s="382">
        <f>H123</f>
        <v>0.38</v>
      </c>
      <c r="W66" s="308" t="s">
        <v>77</v>
      </c>
      <c r="X66" s="383" t="e">
        <f t="shared" si="18"/>
        <v>#REF!</v>
      </c>
      <c r="Y66" s="383" t="e">
        <f t="shared" si="18"/>
        <v>#N/A</v>
      </c>
      <c r="Z66" s="390" t="e">
        <f t="shared" si="18"/>
        <v>#REF!</v>
      </c>
      <c r="AD66" s="308" t="s">
        <v>73</v>
      </c>
      <c r="AE66" s="303">
        <v>0.375</v>
      </c>
      <c r="AF66" s="303">
        <v>9.51</v>
      </c>
      <c r="AG66" s="303">
        <v>9510</v>
      </c>
      <c r="AH66" s="392">
        <f t="shared" si="14"/>
        <v>61.685236282952467</v>
      </c>
      <c r="AI66" s="307">
        <f t="shared" si="15"/>
        <v>1.7901812326218365</v>
      </c>
      <c r="AK66" s="308">
        <v>6</v>
      </c>
      <c r="AL66" s="303" t="str">
        <f t="shared" si="12"/>
        <v/>
      </c>
      <c r="AM66" s="381" t="e">
        <f t="shared" si="13"/>
        <v>#N/A</v>
      </c>
      <c r="AN66" s="381" t="e">
        <f t="shared" si="13"/>
        <v>#N/A</v>
      </c>
      <c r="AO66" s="381" t="e">
        <f t="shared" si="13"/>
        <v>#N/A</v>
      </c>
      <c r="AP66" s="380" t="e">
        <f t="shared" si="13"/>
        <v>#N/A</v>
      </c>
      <c r="AQ66" s="303" t="e">
        <f>NA()</f>
        <v>#N/A</v>
      </c>
      <c r="AR66" s="308"/>
      <c r="AU66" s="381" t="e">
        <f t="shared" si="16"/>
        <v>#N/A</v>
      </c>
      <c r="AV66" s="381" t="e">
        <f t="shared" si="17"/>
        <v>#N/A</v>
      </c>
      <c r="AW66" s="380" t="e">
        <f t="shared" si="17"/>
        <v>#N/A</v>
      </c>
    </row>
    <row r="67" spans="6:49" x14ac:dyDescent="0.25">
      <c r="H67" s="318" t="s">
        <v>153</v>
      </c>
      <c r="I67" s="383" t="e">
        <f>#REF!</f>
        <v>#REF!</v>
      </c>
      <c r="J67" s="303" t="s">
        <v>152</v>
      </c>
      <c r="T67" s="385">
        <f>G124</f>
        <v>0.68</v>
      </c>
      <c r="U67" s="382">
        <f>H124</f>
        <v>0.36</v>
      </c>
      <c r="W67" s="308" t="s">
        <v>76</v>
      </c>
      <c r="X67" s="383" t="e">
        <f t="shared" si="18"/>
        <v>#REF!</v>
      </c>
      <c r="Y67" s="383" t="e">
        <f t="shared" si="18"/>
        <v>#N/A</v>
      </c>
      <c r="Z67" s="390" t="e">
        <f t="shared" si="18"/>
        <v>#REF!</v>
      </c>
      <c r="AD67" s="308" t="s">
        <v>72</v>
      </c>
      <c r="AE67" s="303">
        <v>0.187</v>
      </c>
      <c r="AF67" s="303">
        <v>4.76</v>
      </c>
      <c r="AG67" s="303">
        <v>4760</v>
      </c>
      <c r="AH67" s="392">
        <f t="shared" si="14"/>
        <v>45.177597175157636</v>
      </c>
      <c r="AI67" s="307">
        <f t="shared" si="15"/>
        <v>1.6549231287242221</v>
      </c>
      <c r="AK67" s="308">
        <v>7</v>
      </c>
      <c r="AL67" s="303" t="str">
        <f t="shared" si="12"/>
        <v>No. 200</v>
      </c>
      <c r="AM67" s="381" t="e">
        <f t="shared" si="13"/>
        <v>#REF!</v>
      </c>
      <c r="AN67" s="381" t="e">
        <f t="shared" si="13"/>
        <v>#N/A</v>
      </c>
      <c r="AO67" s="381" t="e">
        <f t="shared" si="13"/>
        <v>#N/A</v>
      </c>
      <c r="AP67" s="380" t="e">
        <f t="shared" si="13"/>
        <v>#N/A</v>
      </c>
      <c r="AQ67" s="393">
        <v>1</v>
      </c>
      <c r="AR67" s="308"/>
      <c r="AU67" s="381" t="e">
        <f t="shared" si="16"/>
        <v>#VALUE!</v>
      </c>
      <c r="AV67" s="381" t="str">
        <f t="shared" si="17"/>
        <v/>
      </c>
      <c r="AW67" s="380" t="str">
        <f t="shared" si="17"/>
        <v/>
      </c>
    </row>
    <row r="68" spans="6:49" x14ac:dyDescent="0.25">
      <c r="H68" s="318" t="s">
        <v>151</v>
      </c>
      <c r="I68" s="383" t="e">
        <f>#REF!</f>
        <v>#REF!</v>
      </c>
      <c r="J68" s="303" t="s">
        <v>150</v>
      </c>
      <c r="T68" s="385">
        <f>G114</f>
        <v>0.68</v>
      </c>
      <c r="U68" s="382">
        <f>H114</f>
        <v>0.32</v>
      </c>
      <c r="W68" s="308" t="s">
        <v>75</v>
      </c>
      <c r="X68" s="383" t="e">
        <f t="shared" si="18"/>
        <v>#REF!</v>
      </c>
      <c r="Y68" s="383">
        <f t="shared" si="18"/>
        <v>0</v>
      </c>
      <c r="Z68" s="390" t="e">
        <f t="shared" si="18"/>
        <v>#REF!</v>
      </c>
      <c r="AD68" s="308" t="s">
        <v>71</v>
      </c>
      <c r="AE68" s="303">
        <v>9.3700000000000006E-2</v>
      </c>
      <c r="AF68" s="303">
        <v>2.38</v>
      </c>
      <c r="AG68" s="303">
        <v>2380</v>
      </c>
      <c r="AH68" s="392">
        <f t="shared" si="14"/>
        <v>33.071936900670877</v>
      </c>
      <c r="AI68" s="307">
        <f t="shared" si="15"/>
        <v>1.5194596306754302</v>
      </c>
      <c r="AK68" s="308">
        <v>8</v>
      </c>
      <c r="AL68" s="303" t="str">
        <f t="shared" si="12"/>
        <v/>
      </c>
      <c r="AM68" s="381" t="e">
        <f t="shared" si="13"/>
        <v>#N/A</v>
      </c>
      <c r="AN68" s="381" t="e">
        <f t="shared" si="13"/>
        <v>#N/A</v>
      </c>
      <c r="AO68" s="381" t="e">
        <f t="shared" si="13"/>
        <v>#N/A</v>
      </c>
      <c r="AP68" s="380" t="e">
        <f t="shared" si="13"/>
        <v>#N/A</v>
      </c>
      <c r="AQ68" s="303" t="e">
        <f>NA()</f>
        <v>#N/A</v>
      </c>
      <c r="AR68" s="308"/>
      <c r="AU68" s="381" t="e">
        <f t="shared" si="16"/>
        <v>#N/A</v>
      </c>
      <c r="AV68" s="381" t="e">
        <f t="shared" si="17"/>
        <v>#N/A</v>
      </c>
      <c r="AW68" s="380" t="e">
        <f t="shared" si="17"/>
        <v>#N/A</v>
      </c>
    </row>
    <row r="69" spans="6:49" x14ac:dyDescent="0.25">
      <c r="H69" s="318" t="s">
        <v>149</v>
      </c>
      <c r="I69" s="383" t="e">
        <f>#REF!</f>
        <v>#REF!</v>
      </c>
      <c r="J69" s="303" t="s">
        <v>148</v>
      </c>
      <c r="T69" s="385">
        <f>G115</f>
        <v>0.52</v>
      </c>
      <c r="U69" s="382">
        <f>H115</f>
        <v>0.34</v>
      </c>
      <c r="W69" s="308" t="s">
        <v>74</v>
      </c>
      <c r="X69" s="383" t="e">
        <f t="shared" si="18"/>
        <v>#REF!</v>
      </c>
      <c r="Y69" s="383">
        <f t="shared" si="18"/>
        <v>0.08</v>
      </c>
      <c r="Z69" s="390" t="e">
        <f t="shared" si="18"/>
        <v>#REF!</v>
      </c>
      <c r="AD69" s="308" t="s">
        <v>70</v>
      </c>
      <c r="AE69" s="303">
        <v>4.6899999999999997E-2</v>
      </c>
      <c r="AF69" s="303">
        <v>1.19</v>
      </c>
      <c r="AG69" s="303">
        <v>1190</v>
      </c>
      <c r="AH69" s="392">
        <f t="shared" si="14"/>
        <v>24.210074876744265</v>
      </c>
      <c r="AI69" s="307">
        <f t="shared" si="15"/>
        <v>1.3839961326266388</v>
      </c>
      <c r="AK69" s="308">
        <v>9</v>
      </c>
      <c r="AL69" s="303" t="str">
        <f t="shared" si="12"/>
        <v/>
      </c>
      <c r="AM69" s="381" t="e">
        <f t="shared" si="13"/>
        <v>#N/A</v>
      </c>
      <c r="AN69" s="381" t="e">
        <f t="shared" si="13"/>
        <v>#N/A</v>
      </c>
      <c r="AO69" s="381" t="e">
        <f t="shared" si="13"/>
        <v>#N/A</v>
      </c>
      <c r="AP69" s="380" t="e">
        <f t="shared" si="13"/>
        <v>#N/A</v>
      </c>
      <c r="AQ69" s="303" t="e">
        <f>NA()</f>
        <v>#N/A</v>
      </c>
      <c r="AR69" s="308"/>
      <c r="AU69" s="381" t="e">
        <f t="shared" si="16"/>
        <v>#N/A</v>
      </c>
      <c r="AV69" s="381" t="e">
        <f t="shared" si="17"/>
        <v>#N/A</v>
      </c>
      <c r="AW69" s="380" t="e">
        <f t="shared" si="17"/>
        <v>#N/A</v>
      </c>
    </row>
    <row r="70" spans="6:49" x14ac:dyDescent="0.25">
      <c r="H70" s="318" t="s">
        <v>147</v>
      </c>
      <c r="I70" s="303" t="e">
        <f>#REF!</f>
        <v>#REF!</v>
      </c>
      <c r="J70" s="303" t="s">
        <v>146</v>
      </c>
      <c r="T70" s="308" t="s">
        <v>145</v>
      </c>
      <c r="U70" s="307"/>
      <c r="W70" s="308" t="s">
        <v>73</v>
      </c>
      <c r="X70" s="383" t="e">
        <f t="shared" si="18"/>
        <v>#REF!</v>
      </c>
      <c r="Y70" s="383">
        <f t="shared" si="18"/>
        <v>0.08</v>
      </c>
      <c r="Z70" s="390" t="e">
        <f t="shared" si="18"/>
        <v>#REF!</v>
      </c>
      <c r="AD70" s="308" t="s">
        <v>69</v>
      </c>
      <c r="AE70" s="303">
        <v>2.3400000000000001E-2</v>
      </c>
      <c r="AF70" s="303">
        <v>0.59499999999999997</v>
      </c>
      <c r="AG70" s="303">
        <v>595</v>
      </c>
      <c r="AH70" s="392">
        <f t="shared" si="14"/>
        <v>17.722812162406921</v>
      </c>
      <c r="AI70" s="307">
        <f t="shared" si="15"/>
        <v>1.2485326345778474</v>
      </c>
      <c r="AK70" s="308">
        <v>10</v>
      </c>
      <c r="AL70" s="303" t="str">
        <f t="shared" si="12"/>
        <v>No. 100</v>
      </c>
      <c r="AM70" s="381" t="e">
        <f t="shared" si="13"/>
        <v>#REF!</v>
      </c>
      <c r="AN70" s="381" t="e">
        <f t="shared" si="13"/>
        <v>#N/A</v>
      </c>
      <c r="AO70" s="381" t="e">
        <f t="shared" si="13"/>
        <v>#N/A</v>
      </c>
      <c r="AP70" s="380" t="e">
        <f t="shared" si="13"/>
        <v>#N/A</v>
      </c>
      <c r="AQ70" s="393">
        <f>AQ67</f>
        <v>1</v>
      </c>
      <c r="AR70" s="308"/>
      <c r="AU70" s="381" t="e">
        <f t="shared" si="16"/>
        <v>#VALUE!</v>
      </c>
      <c r="AV70" s="381" t="str">
        <f t="shared" si="17"/>
        <v/>
      </c>
      <c r="AW70" s="380" t="str">
        <f t="shared" si="17"/>
        <v/>
      </c>
    </row>
    <row r="71" spans="6:49" x14ac:dyDescent="0.25">
      <c r="T71" s="385" t="e">
        <f>J58</f>
        <v>#REF!</v>
      </c>
      <c r="U71" s="384" t="e">
        <f>J61</f>
        <v>#REF!</v>
      </c>
      <c r="W71" s="308" t="s">
        <v>72</v>
      </c>
      <c r="X71" s="383" t="e">
        <f t="shared" si="18"/>
        <v>#REF!</v>
      </c>
      <c r="Y71" s="383">
        <f t="shared" si="18"/>
        <v>0.08</v>
      </c>
      <c r="Z71" s="390" t="e">
        <f t="shared" si="18"/>
        <v>#REF!</v>
      </c>
      <c r="AD71" s="308" t="s">
        <v>68</v>
      </c>
      <c r="AE71" s="303">
        <v>1.17E-2</v>
      </c>
      <c r="AF71" s="303">
        <v>0.29699999999999999</v>
      </c>
      <c r="AG71" s="303">
        <v>297</v>
      </c>
      <c r="AH71" s="392">
        <f t="shared" si="14"/>
        <v>12.964041189051768</v>
      </c>
      <c r="AI71" s="307">
        <f t="shared" si="15"/>
        <v>1.1127404021927456</v>
      </c>
      <c r="AK71" s="308">
        <v>11</v>
      </c>
      <c r="AL71" s="303" t="str">
        <f t="shared" si="12"/>
        <v/>
      </c>
      <c r="AM71" s="381" t="e">
        <f t="shared" si="13"/>
        <v>#N/A</v>
      </c>
      <c r="AN71" s="381" t="e">
        <f t="shared" si="13"/>
        <v>#N/A</v>
      </c>
      <c r="AO71" s="381" t="e">
        <f t="shared" si="13"/>
        <v>#N/A</v>
      </c>
      <c r="AP71" s="380" t="e">
        <f t="shared" si="13"/>
        <v>#N/A</v>
      </c>
      <c r="AQ71" s="303" t="e">
        <f>NA()</f>
        <v>#N/A</v>
      </c>
      <c r="AR71" s="308"/>
      <c r="AU71" s="381" t="e">
        <f t="shared" si="16"/>
        <v>#N/A</v>
      </c>
      <c r="AV71" s="381" t="e">
        <f t="shared" si="17"/>
        <v>#N/A</v>
      </c>
      <c r="AW71" s="380" t="e">
        <f t="shared" si="17"/>
        <v>#N/A</v>
      </c>
    </row>
    <row r="72" spans="6:49" x14ac:dyDescent="0.25">
      <c r="G72" s="303" t="s">
        <v>144</v>
      </c>
      <c r="T72" s="308" t="s">
        <v>143</v>
      </c>
      <c r="U72" s="307"/>
      <c r="W72" s="308" t="s">
        <v>71</v>
      </c>
      <c r="X72" s="383" t="e">
        <f t="shared" si="18"/>
        <v>#REF!</v>
      </c>
      <c r="Y72" s="383">
        <f t="shared" si="18"/>
        <v>0.08</v>
      </c>
      <c r="Z72" s="390" t="e">
        <f t="shared" si="18"/>
        <v>#REF!</v>
      </c>
      <c r="AD72" s="308" t="s">
        <v>67</v>
      </c>
      <c r="AE72" s="303">
        <v>5.8999999999999999E-3</v>
      </c>
      <c r="AF72" s="303">
        <v>0.14899999999999999</v>
      </c>
      <c r="AG72" s="303">
        <v>149</v>
      </c>
      <c r="AH72" s="392">
        <f t="shared" si="14"/>
        <v>9.5045994842303667</v>
      </c>
      <c r="AI72" s="307">
        <f t="shared" si="15"/>
        <v>0.97793382078552349</v>
      </c>
      <c r="AK72" s="308">
        <v>12</v>
      </c>
      <c r="AL72" s="303" t="str">
        <f t="shared" si="12"/>
        <v/>
      </c>
      <c r="AM72" s="381" t="e">
        <f t="shared" si="13"/>
        <v>#N/A</v>
      </c>
      <c r="AN72" s="381" t="e">
        <f t="shared" si="13"/>
        <v>#N/A</v>
      </c>
      <c r="AO72" s="381" t="e">
        <f t="shared" si="13"/>
        <v>#N/A</v>
      </c>
      <c r="AP72" s="380" t="e">
        <f t="shared" si="13"/>
        <v>#N/A</v>
      </c>
      <c r="AQ72" s="303" t="e">
        <f>NA()</f>
        <v>#N/A</v>
      </c>
      <c r="AR72" s="308"/>
      <c r="AU72" s="381" t="e">
        <f t="shared" si="16"/>
        <v>#N/A</v>
      </c>
      <c r="AV72" s="381" t="e">
        <f t="shared" si="17"/>
        <v>#N/A</v>
      </c>
      <c r="AW72" s="380" t="e">
        <f t="shared" si="17"/>
        <v>#N/A</v>
      </c>
    </row>
    <row r="73" spans="6:49" x14ac:dyDescent="0.25">
      <c r="H73" s="303" t="s">
        <v>142</v>
      </c>
      <c r="T73" s="385">
        <f>G81</f>
        <v>0.8</v>
      </c>
      <c r="U73" s="384">
        <f>H81</f>
        <v>0.26</v>
      </c>
      <c r="W73" s="308" t="s">
        <v>70</v>
      </c>
      <c r="X73" s="383" t="e">
        <f t="shared" ref="X73:Z76" si="19">X87</f>
        <v>#REF!</v>
      </c>
      <c r="Y73" s="383">
        <f t="shared" si="19"/>
        <v>0.08</v>
      </c>
      <c r="Z73" s="390" t="e">
        <f t="shared" si="19"/>
        <v>#REF!</v>
      </c>
      <c r="AD73" s="308" t="s">
        <v>66</v>
      </c>
      <c r="AE73" s="303">
        <v>2.8999999999999998E-3</v>
      </c>
      <c r="AF73" s="303">
        <v>7.3999999999999996E-2</v>
      </c>
      <c r="AG73" s="303">
        <v>74</v>
      </c>
      <c r="AH73" s="392">
        <f t="shared" si="14"/>
        <v>6.9367217454368229</v>
      </c>
      <c r="AI73" s="307">
        <f t="shared" si="15"/>
        <v>0.84115427387893937</v>
      </c>
      <c r="AK73" s="308">
        <v>13</v>
      </c>
      <c r="AL73" s="303" t="str">
        <f t="shared" si="12"/>
        <v>No. 50</v>
      </c>
      <c r="AM73" s="381" t="e">
        <f t="shared" si="13"/>
        <v>#REF!</v>
      </c>
      <c r="AN73" s="381" t="e">
        <f t="shared" si="13"/>
        <v>#N/A</v>
      </c>
      <c r="AO73" s="381" t="e">
        <f t="shared" si="13"/>
        <v>#N/A</v>
      </c>
      <c r="AP73" s="380" t="e">
        <f t="shared" si="13"/>
        <v>#N/A</v>
      </c>
      <c r="AQ73" s="382">
        <f>AQ67</f>
        <v>1</v>
      </c>
      <c r="AR73" s="308"/>
      <c r="AU73" s="381" t="e">
        <f t="shared" si="16"/>
        <v>#VALUE!</v>
      </c>
      <c r="AV73" s="381" t="str">
        <f t="shared" si="17"/>
        <v/>
      </c>
      <c r="AW73" s="380" t="str">
        <f t="shared" si="17"/>
        <v/>
      </c>
    </row>
    <row r="74" spans="6:49" x14ac:dyDescent="0.25">
      <c r="H74" s="303" t="s">
        <v>141</v>
      </c>
      <c r="T74" s="385">
        <f>H100</f>
        <v>0.75</v>
      </c>
      <c r="U74" s="384">
        <f>$U$73+(T74-$T$73)*($U$76-$U$73)/($T$76-$T$73)</f>
        <v>0.26900000000000002</v>
      </c>
      <c r="W74" s="308" t="s">
        <v>69</v>
      </c>
      <c r="X74" s="383" t="e">
        <f t="shared" si="19"/>
        <v>#REF!</v>
      </c>
      <c r="Y74" s="383">
        <f t="shared" si="19"/>
        <v>0.08</v>
      </c>
      <c r="Z74" s="390">
        <f t="shared" si="19"/>
        <v>0.15</v>
      </c>
      <c r="AD74" s="306" t="s">
        <v>65</v>
      </c>
      <c r="AE74" s="305">
        <v>0</v>
      </c>
      <c r="AF74" s="305">
        <v>0</v>
      </c>
      <c r="AG74" s="305">
        <v>0</v>
      </c>
      <c r="AH74" s="391">
        <f t="shared" si="14"/>
        <v>0</v>
      </c>
      <c r="AI74" s="304" t="e">
        <f t="shared" si="15"/>
        <v>#NUM!</v>
      </c>
      <c r="AK74" s="308">
        <v>14</v>
      </c>
      <c r="AL74" s="303" t="str">
        <f t="shared" si="12"/>
        <v/>
      </c>
      <c r="AM74" s="381" t="e">
        <f t="shared" si="13"/>
        <v>#N/A</v>
      </c>
      <c r="AN74" s="381" t="e">
        <f t="shared" si="13"/>
        <v>#N/A</v>
      </c>
      <c r="AO74" s="381" t="e">
        <f t="shared" si="13"/>
        <v>#N/A</v>
      </c>
      <c r="AP74" s="380" t="e">
        <f t="shared" si="13"/>
        <v>#N/A</v>
      </c>
      <c r="AQ74" s="303" t="e">
        <f>NA()</f>
        <v>#N/A</v>
      </c>
      <c r="AR74" s="308"/>
      <c r="AU74" s="381" t="e">
        <f t="shared" si="16"/>
        <v>#N/A</v>
      </c>
      <c r="AV74" s="381" t="e">
        <f t="shared" si="17"/>
        <v>#N/A</v>
      </c>
      <c r="AW74" s="380" t="e">
        <f t="shared" si="17"/>
        <v>#N/A</v>
      </c>
    </row>
    <row r="75" spans="6:49" x14ac:dyDescent="0.25">
      <c r="H75" s="303" t="s">
        <v>140</v>
      </c>
      <c r="T75" s="385">
        <f>T77</f>
        <v>0.45</v>
      </c>
      <c r="U75" s="384">
        <f>$U$73+(T75-$T$73)*($U$76-$U$73)/($T$76-$T$73)</f>
        <v>0.32300000000000001</v>
      </c>
      <c r="W75" s="308" t="s">
        <v>68</v>
      </c>
      <c r="X75" s="383" t="e">
        <f t="shared" si="19"/>
        <v>#REF!</v>
      </c>
      <c r="Y75" s="383">
        <f t="shared" si="19"/>
        <v>0.08</v>
      </c>
      <c r="Z75" s="390">
        <f t="shared" si="19"/>
        <v>0.15</v>
      </c>
      <c r="AK75" s="308">
        <v>15</v>
      </c>
      <c r="AL75" s="303" t="str">
        <f t="shared" si="12"/>
        <v/>
      </c>
      <c r="AM75" s="381" t="e">
        <f t="shared" si="13"/>
        <v>#N/A</v>
      </c>
      <c r="AN75" s="381" t="e">
        <f t="shared" si="13"/>
        <v>#N/A</v>
      </c>
      <c r="AO75" s="381" t="e">
        <f t="shared" si="13"/>
        <v>#N/A</v>
      </c>
      <c r="AP75" s="380" t="e">
        <f t="shared" si="13"/>
        <v>#N/A</v>
      </c>
      <c r="AQ75" s="303" t="e">
        <f>NA()</f>
        <v>#N/A</v>
      </c>
      <c r="AR75" s="308"/>
      <c r="AU75" s="381" t="e">
        <f t="shared" si="16"/>
        <v>#N/A</v>
      </c>
      <c r="AV75" s="381" t="e">
        <f t="shared" si="17"/>
        <v>#N/A</v>
      </c>
      <c r="AW75" s="380" t="e">
        <f t="shared" si="17"/>
        <v>#N/A</v>
      </c>
    </row>
    <row r="76" spans="6:49" x14ac:dyDescent="0.25">
      <c r="T76" s="385">
        <f>G82</f>
        <v>0.3</v>
      </c>
      <c r="U76" s="384">
        <f>H82</f>
        <v>0.35</v>
      </c>
      <c r="W76" s="308" t="s">
        <v>67</v>
      </c>
      <c r="X76" s="383" t="e">
        <f t="shared" si="19"/>
        <v>#REF!</v>
      </c>
      <c r="Y76" s="383">
        <f t="shared" si="19"/>
        <v>0</v>
      </c>
      <c r="Z76" s="390">
        <f t="shared" si="19"/>
        <v>7.4999999999999997E-2</v>
      </c>
      <c r="AK76" s="308">
        <v>16</v>
      </c>
      <c r="AL76" s="303" t="str">
        <f t="shared" si="12"/>
        <v/>
      </c>
      <c r="AM76" s="381" t="e">
        <f t="shared" si="13"/>
        <v>#N/A</v>
      </c>
      <c r="AN76" s="381" t="e">
        <f t="shared" si="13"/>
        <v>#N/A</v>
      </c>
      <c r="AO76" s="381" t="e">
        <f t="shared" si="13"/>
        <v>#N/A</v>
      </c>
      <c r="AP76" s="380" t="e">
        <f t="shared" si="13"/>
        <v>#N/A</v>
      </c>
      <c r="AQ76" s="303" t="e">
        <f>NA()</f>
        <v>#N/A</v>
      </c>
      <c r="AR76" s="308"/>
      <c r="AU76" s="381" t="e">
        <f t="shared" si="16"/>
        <v>#N/A</v>
      </c>
      <c r="AV76" s="381" t="e">
        <f t="shared" si="17"/>
        <v>#N/A</v>
      </c>
      <c r="AW76" s="380" t="e">
        <f t="shared" si="17"/>
        <v>#N/A</v>
      </c>
    </row>
    <row r="77" spans="6:49" x14ac:dyDescent="0.25">
      <c r="F77" s="347" t="s">
        <v>139</v>
      </c>
      <c r="G77" s="330"/>
      <c r="H77" s="330"/>
      <c r="I77" s="330"/>
      <c r="J77" s="330"/>
      <c r="K77" s="330"/>
      <c r="L77" s="330"/>
      <c r="M77" s="329"/>
      <c r="T77" s="385">
        <f>H101</f>
        <v>0.45</v>
      </c>
      <c r="U77" s="384">
        <f>U75</f>
        <v>0.32300000000000001</v>
      </c>
      <c r="W77" s="306" t="s">
        <v>66</v>
      </c>
      <c r="X77" s="386" t="e">
        <f>#REF!</f>
        <v>#REF!</v>
      </c>
      <c r="Y77" s="386" t="e">
        <f>NA()</f>
        <v>#N/A</v>
      </c>
      <c r="Z77" s="389">
        <v>0</v>
      </c>
      <c r="AK77" s="308">
        <v>17</v>
      </c>
      <c r="AL77" s="303" t="str">
        <f t="shared" si="12"/>
        <v/>
      </c>
      <c r="AM77" s="381" t="e">
        <f t="shared" si="13"/>
        <v>#N/A</v>
      </c>
      <c r="AN77" s="381" t="e">
        <f t="shared" si="13"/>
        <v>#N/A</v>
      </c>
      <c r="AO77" s="381" t="e">
        <f t="shared" si="13"/>
        <v>#N/A</v>
      </c>
      <c r="AP77" s="380" t="e">
        <f t="shared" si="13"/>
        <v>#N/A</v>
      </c>
      <c r="AQ77" s="303" t="e">
        <f>NA()</f>
        <v>#N/A</v>
      </c>
      <c r="AR77" s="308"/>
      <c r="AU77" s="381" t="e">
        <f t="shared" si="16"/>
        <v>#N/A</v>
      </c>
      <c r="AV77" s="381" t="e">
        <f t="shared" si="17"/>
        <v>#N/A</v>
      </c>
      <c r="AW77" s="380" t="e">
        <f t="shared" si="17"/>
        <v>#N/A</v>
      </c>
    </row>
    <row r="78" spans="6:49" x14ac:dyDescent="0.25">
      <c r="F78" s="308" t="s">
        <v>138</v>
      </c>
      <c r="M78" s="307"/>
      <c r="T78" s="385">
        <f>T77</f>
        <v>0.45</v>
      </c>
      <c r="U78" s="384">
        <f>U77+($U$79-$U$73)</f>
        <v>0.443</v>
      </c>
      <c r="W78" s="347" t="s">
        <v>82</v>
      </c>
      <c r="X78" s="330"/>
      <c r="Y78" s="330"/>
      <c r="Z78" s="330">
        <v>0</v>
      </c>
      <c r="AA78" s="329"/>
      <c r="AK78" s="308">
        <v>18</v>
      </c>
      <c r="AL78" s="303" t="str">
        <f t="shared" si="12"/>
        <v>No. 30</v>
      </c>
      <c r="AM78" s="381" t="e">
        <f t="shared" si="13"/>
        <v>#REF!</v>
      </c>
      <c r="AN78" s="381" t="e">
        <f t="shared" si="13"/>
        <v>#N/A</v>
      </c>
      <c r="AO78" s="381" t="e">
        <f t="shared" si="13"/>
        <v>#N/A</v>
      </c>
      <c r="AP78" s="380" t="e">
        <f t="shared" si="13"/>
        <v>#N/A</v>
      </c>
      <c r="AQ78" s="382">
        <f>AQ67</f>
        <v>1</v>
      </c>
      <c r="AR78" s="308"/>
      <c r="AU78" s="381" t="e">
        <f t="shared" si="16"/>
        <v>#VALUE!</v>
      </c>
      <c r="AV78" s="381" t="str">
        <f t="shared" si="17"/>
        <v/>
      </c>
      <c r="AW78" s="380" t="str">
        <f t="shared" si="17"/>
        <v/>
      </c>
    </row>
    <row r="79" spans="6:49" x14ac:dyDescent="0.25">
      <c r="F79" s="308"/>
      <c r="G79" s="303" t="s">
        <v>113</v>
      </c>
      <c r="M79" s="307"/>
      <c r="T79" s="385">
        <f>G90</f>
        <v>0.8</v>
      </c>
      <c r="U79" s="384">
        <f>H90</f>
        <v>0.38</v>
      </c>
      <c r="W79" s="308" t="s">
        <v>78</v>
      </c>
      <c r="X79" s="383" t="e">
        <f>#REF!</f>
        <v>#REF!</v>
      </c>
      <c r="Y79" s="383">
        <v>0</v>
      </c>
      <c r="Z79" s="383" t="e">
        <f>IF(Z78&gt;0,Z78,IF(SUM(#REF!)=0,0,AA79))</f>
        <v>#REF!</v>
      </c>
      <c r="AA79" s="307">
        <v>0</v>
      </c>
      <c r="AK79" s="308">
        <v>19</v>
      </c>
      <c r="AL79" s="303" t="str">
        <f t="shared" si="12"/>
        <v/>
      </c>
      <c r="AM79" s="381" t="e">
        <f t="shared" si="13"/>
        <v>#N/A</v>
      </c>
      <c r="AN79" s="381" t="e">
        <f t="shared" si="13"/>
        <v>#N/A</v>
      </c>
      <c r="AO79" s="381" t="e">
        <f t="shared" si="13"/>
        <v>#N/A</v>
      </c>
      <c r="AP79" s="380" t="e">
        <f t="shared" si="13"/>
        <v>#N/A</v>
      </c>
      <c r="AQ79" s="303" t="e">
        <f>NA()</f>
        <v>#N/A</v>
      </c>
      <c r="AR79" s="308"/>
      <c r="AU79" s="381" t="e">
        <f t="shared" si="16"/>
        <v>#N/A</v>
      </c>
      <c r="AV79" s="381" t="e">
        <f t="shared" si="17"/>
        <v>#N/A</v>
      </c>
      <c r="AW79" s="380" t="e">
        <f t="shared" si="17"/>
        <v>#N/A</v>
      </c>
    </row>
    <row r="80" spans="6:49" x14ac:dyDescent="0.25">
      <c r="F80" s="308"/>
      <c r="G80" s="303" t="s">
        <v>112</v>
      </c>
      <c r="H80" s="303" t="s">
        <v>111</v>
      </c>
      <c r="M80" s="307"/>
      <c r="T80" s="385">
        <f>T74</f>
        <v>0.75</v>
      </c>
      <c r="U80" s="384">
        <f>U74+($U$79-$U$73)</f>
        <v>0.38900000000000001</v>
      </c>
      <c r="W80" s="308" t="s">
        <v>77</v>
      </c>
      <c r="X80" s="383" t="e">
        <f>#REF!</f>
        <v>#REF!</v>
      </c>
      <c r="Y80" s="383">
        <v>0</v>
      </c>
      <c r="Z80" s="383" t="e">
        <f>IF(Z79&gt;0,Z79,IF(SUM(#REF!)=0,0,AA80))</f>
        <v>#REF!</v>
      </c>
      <c r="AA80" s="307">
        <v>0.18</v>
      </c>
      <c r="AK80" s="308">
        <v>20</v>
      </c>
      <c r="AL80" s="303" t="str">
        <f t="shared" si="12"/>
        <v/>
      </c>
      <c r="AM80" s="381" t="e">
        <f t="shared" ref="AM80:AP99" si="20">IF(ISBLANK(VLOOKUP($AK80,$AK$43:$AP$56,AM$59,FALSE)),NA(),VLOOKUP($AK80,$AK$43:$AP$56,AM$59,FALSE))</f>
        <v>#N/A</v>
      </c>
      <c r="AN80" s="381" t="e">
        <f t="shared" si="20"/>
        <v>#N/A</v>
      </c>
      <c r="AO80" s="381" t="e">
        <f t="shared" si="20"/>
        <v>#N/A</v>
      </c>
      <c r="AP80" s="380" t="e">
        <f t="shared" si="20"/>
        <v>#N/A</v>
      </c>
      <c r="AQ80" s="303" t="e">
        <f>NA()</f>
        <v>#N/A</v>
      </c>
      <c r="AR80" s="308"/>
      <c r="AU80" s="381" t="e">
        <f t="shared" si="16"/>
        <v>#N/A</v>
      </c>
      <c r="AV80" s="381" t="e">
        <f t="shared" si="17"/>
        <v>#N/A</v>
      </c>
      <c r="AW80" s="380" t="e">
        <f t="shared" si="17"/>
        <v>#N/A</v>
      </c>
    </row>
    <row r="81" spans="6:49" x14ac:dyDescent="0.25">
      <c r="F81" s="308"/>
      <c r="G81" s="382">
        <v>0.8</v>
      </c>
      <c r="H81" s="382">
        <v>0.26</v>
      </c>
      <c r="M81" s="307"/>
      <c r="T81" s="385">
        <f>T80</f>
        <v>0.75</v>
      </c>
      <c r="U81" s="384">
        <f>U74</f>
        <v>0.26900000000000002</v>
      </c>
      <c r="W81" s="308" t="s">
        <v>76</v>
      </c>
      <c r="X81" s="383" t="e">
        <f>#REF!</f>
        <v>#REF!</v>
      </c>
      <c r="Y81" s="383">
        <v>0</v>
      </c>
      <c r="Z81" s="383" t="e">
        <f>IF(Z80&gt;0,Z80,IF(SUM(#REF!)=0,0,AA81))</f>
        <v>#REF!</v>
      </c>
      <c r="AA81" s="307">
        <v>0.18</v>
      </c>
      <c r="AK81" s="308">
        <v>21</v>
      </c>
      <c r="AL81" s="303" t="str">
        <f t="shared" si="12"/>
        <v/>
      </c>
      <c r="AM81" s="381" t="e">
        <f t="shared" si="20"/>
        <v>#N/A</v>
      </c>
      <c r="AN81" s="381" t="e">
        <f t="shared" si="20"/>
        <v>#N/A</v>
      </c>
      <c r="AO81" s="381" t="e">
        <f t="shared" si="20"/>
        <v>#N/A</v>
      </c>
      <c r="AP81" s="380" t="e">
        <f t="shared" si="20"/>
        <v>#N/A</v>
      </c>
      <c r="AQ81" s="303" t="e">
        <f>NA()</f>
        <v>#N/A</v>
      </c>
      <c r="AR81" s="308"/>
      <c r="AU81" s="381" t="e">
        <f t="shared" si="16"/>
        <v>#N/A</v>
      </c>
      <c r="AV81" s="381" t="e">
        <f t="shared" ref="AV81:AW100" si="21">IF(ISBLANK(VLOOKUP($AK81,$AK$43:$AW$56,AV$59,FALSE)),NA(),VLOOKUP($AK81,$AK$43:$AW$56,AV$59,FALSE))</f>
        <v>#N/A</v>
      </c>
      <c r="AW81" s="380" t="e">
        <f t="shared" si="21"/>
        <v>#N/A</v>
      </c>
    </row>
    <row r="82" spans="6:49" x14ac:dyDescent="0.25">
      <c r="F82" s="308"/>
      <c r="G82" s="382">
        <v>0.3</v>
      </c>
      <c r="H82" s="382">
        <v>0.35</v>
      </c>
      <c r="M82" s="307"/>
      <c r="T82" s="385">
        <f>T81</f>
        <v>0.75</v>
      </c>
      <c r="U82" s="384">
        <f>U80</f>
        <v>0.38900000000000001</v>
      </c>
      <c r="W82" s="308" t="s">
        <v>75</v>
      </c>
      <c r="X82" s="383" t="e">
        <f>#REF!</f>
        <v>#REF!</v>
      </c>
      <c r="Y82" s="383">
        <v>0</v>
      </c>
      <c r="Z82" s="383" t="e">
        <f>IF(Z81&gt;0,Z81,IF(SUM(#REF!)=0,0,AA82))</f>
        <v>#REF!</v>
      </c>
      <c r="AA82" s="307">
        <v>0.2</v>
      </c>
      <c r="AK82" s="308">
        <v>22</v>
      </c>
      <c r="AL82" s="303" t="str">
        <f t="shared" si="12"/>
        <v/>
      </c>
      <c r="AM82" s="381" t="e">
        <f t="shared" si="20"/>
        <v>#N/A</v>
      </c>
      <c r="AN82" s="381" t="e">
        <f t="shared" si="20"/>
        <v>#N/A</v>
      </c>
      <c r="AO82" s="381" t="e">
        <f t="shared" si="20"/>
        <v>#N/A</v>
      </c>
      <c r="AP82" s="380" t="e">
        <f t="shared" si="20"/>
        <v>#N/A</v>
      </c>
      <c r="AQ82" s="303" t="e">
        <f>NA()</f>
        <v>#N/A</v>
      </c>
      <c r="AR82" s="308"/>
      <c r="AU82" s="381" t="e">
        <f t="shared" si="16"/>
        <v>#N/A</v>
      </c>
      <c r="AV82" s="381" t="e">
        <f t="shared" si="21"/>
        <v>#N/A</v>
      </c>
      <c r="AW82" s="380" t="e">
        <f t="shared" si="21"/>
        <v>#N/A</v>
      </c>
    </row>
    <row r="83" spans="6:49" x14ac:dyDescent="0.25">
      <c r="F83" s="308"/>
      <c r="G83" s="303" t="s">
        <v>110</v>
      </c>
      <c r="M83" s="307"/>
      <c r="T83" s="385">
        <f>T78</f>
        <v>0.45</v>
      </c>
      <c r="U83" s="384">
        <f>U78</f>
        <v>0.443</v>
      </c>
      <c r="W83" s="308" t="s">
        <v>74</v>
      </c>
      <c r="X83" s="383" t="e">
        <f>#REF!</f>
        <v>#REF!</v>
      </c>
      <c r="Y83" s="383">
        <v>0.08</v>
      </c>
      <c r="Z83" s="383" t="e">
        <f>IF(Z82&gt;0,Z82,IF(SUM(#REF!)=0,0,AA83))</f>
        <v>#REF!</v>
      </c>
      <c r="AA83" s="307">
        <f>AA82</f>
        <v>0.2</v>
      </c>
      <c r="AK83" s="308">
        <v>23</v>
      </c>
      <c r="AL83" s="303" t="str">
        <f t="shared" si="12"/>
        <v/>
      </c>
      <c r="AM83" s="381" t="e">
        <f t="shared" si="20"/>
        <v>#N/A</v>
      </c>
      <c r="AN83" s="381" t="e">
        <f t="shared" si="20"/>
        <v>#N/A</v>
      </c>
      <c r="AO83" s="381" t="e">
        <f t="shared" si="20"/>
        <v>#N/A</v>
      </c>
      <c r="AP83" s="380" t="e">
        <f t="shared" si="20"/>
        <v>#N/A</v>
      </c>
      <c r="AQ83" s="303" t="e">
        <f>NA()</f>
        <v>#N/A</v>
      </c>
      <c r="AR83" s="308"/>
      <c r="AU83" s="381" t="e">
        <f t="shared" si="16"/>
        <v>#N/A</v>
      </c>
      <c r="AV83" s="381" t="e">
        <f t="shared" si="21"/>
        <v>#N/A</v>
      </c>
      <c r="AW83" s="380" t="e">
        <f t="shared" si="21"/>
        <v>#N/A</v>
      </c>
    </row>
    <row r="84" spans="6:49" x14ac:dyDescent="0.25">
      <c r="F84" s="308"/>
      <c r="G84" s="303" t="s">
        <v>109</v>
      </c>
      <c r="H84" s="303" t="s">
        <v>108</v>
      </c>
      <c r="I84" s="303" t="s">
        <v>107</v>
      </c>
      <c r="M84" s="307"/>
      <c r="T84" s="387">
        <f>G91</f>
        <v>0.3</v>
      </c>
      <c r="U84" s="388">
        <f>H91</f>
        <v>0.47</v>
      </c>
      <c r="W84" s="308" t="s">
        <v>73</v>
      </c>
      <c r="X84" s="383" t="e">
        <f>#REF!</f>
        <v>#REF!</v>
      </c>
      <c r="Y84" s="383">
        <v>0.08</v>
      </c>
      <c r="Z84" s="383" t="e">
        <f>IF(Z83&gt;0,Z83,IF(SUM(#REF!)=0,0,AA84))</f>
        <v>#REF!</v>
      </c>
      <c r="AA84" s="307">
        <f>AA83</f>
        <v>0.2</v>
      </c>
      <c r="AK84" s="308">
        <v>24</v>
      </c>
      <c r="AL84" s="303" t="str">
        <f t="shared" si="12"/>
        <v>No. 16</v>
      </c>
      <c r="AM84" s="381" t="e">
        <f t="shared" si="20"/>
        <v>#REF!</v>
      </c>
      <c r="AN84" s="381" t="e">
        <f t="shared" si="20"/>
        <v>#N/A</v>
      </c>
      <c r="AO84" s="381" t="e">
        <f t="shared" si="20"/>
        <v>#N/A</v>
      </c>
      <c r="AP84" s="380" t="e">
        <f t="shared" si="20"/>
        <v>#N/A</v>
      </c>
      <c r="AQ84" s="382">
        <f>AQ67</f>
        <v>1</v>
      </c>
      <c r="AR84" s="308"/>
      <c r="AU84" s="381" t="e">
        <f t="shared" si="16"/>
        <v>#VALUE!</v>
      </c>
      <c r="AV84" s="381" t="str">
        <f t="shared" si="21"/>
        <v/>
      </c>
      <c r="AW84" s="380" t="str">
        <f t="shared" si="21"/>
        <v/>
      </c>
    </row>
    <row r="85" spans="6:49" x14ac:dyDescent="0.25">
      <c r="F85" s="308"/>
      <c r="G85" s="383" t="e">
        <f>J58</f>
        <v>#REF!</v>
      </c>
      <c r="H85" s="319" t="e">
        <f>G85*SLOPE(H81:H82,G81:G82)+INTERCEPT(H81:H82,G81:G82)</f>
        <v>#REF!</v>
      </c>
      <c r="I85" s="383" t="e">
        <f>J61</f>
        <v>#REF!</v>
      </c>
      <c r="M85" s="307"/>
      <c r="T85" s="347" t="s">
        <v>137</v>
      </c>
      <c r="U85" s="329"/>
      <c r="W85" s="308" t="s">
        <v>72</v>
      </c>
      <c r="X85" s="383" t="e">
        <f>#REF!</f>
        <v>#REF!</v>
      </c>
      <c r="Y85" s="383">
        <v>0.08</v>
      </c>
      <c r="Z85" s="383" t="e">
        <f>IF(Z84&gt;0,Z84,IF(SUM(#REF!)=0,0,AA85))</f>
        <v>#REF!</v>
      </c>
      <c r="AA85" s="307">
        <f>AA84</f>
        <v>0.2</v>
      </c>
      <c r="AK85" s="308">
        <v>25</v>
      </c>
      <c r="AL85" s="303" t="str">
        <f t="shared" si="12"/>
        <v/>
      </c>
      <c r="AM85" s="381" t="e">
        <f t="shared" si="20"/>
        <v>#N/A</v>
      </c>
      <c r="AN85" s="381" t="e">
        <f t="shared" si="20"/>
        <v>#N/A</v>
      </c>
      <c r="AO85" s="381" t="e">
        <f t="shared" si="20"/>
        <v>#N/A</v>
      </c>
      <c r="AP85" s="380" t="e">
        <f t="shared" si="20"/>
        <v>#N/A</v>
      </c>
      <c r="AQ85" s="303" t="e">
        <f>NA()</f>
        <v>#N/A</v>
      </c>
      <c r="AR85" s="308"/>
      <c r="AU85" s="381" t="e">
        <f t="shared" si="16"/>
        <v>#N/A</v>
      </c>
      <c r="AV85" s="381" t="e">
        <f t="shared" si="21"/>
        <v>#N/A</v>
      </c>
      <c r="AW85" s="380" t="e">
        <f t="shared" si="21"/>
        <v>#N/A</v>
      </c>
    </row>
    <row r="86" spans="6:49" x14ac:dyDescent="0.25">
      <c r="F86" s="308"/>
      <c r="I86" s="303" t="s">
        <v>136</v>
      </c>
      <c r="J86" s="303" t="e">
        <f>IF(I85&lt;=H85,TRUE,FALSE)</f>
        <v>#REF!</v>
      </c>
      <c r="M86" s="307"/>
      <c r="T86" s="385">
        <f>T80</f>
        <v>0.75</v>
      </c>
      <c r="U86" s="307">
        <f>U81+1/3*(U80-U81)*U90</f>
        <v>0.30499999999999999</v>
      </c>
      <c r="W86" s="308" t="s">
        <v>71</v>
      </c>
      <c r="X86" s="383" t="e">
        <f>#REF!</f>
        <v>#REF!</v>
      </c>
      <c r="Y86" s="383">
        <v>0.08</v>
      </c>
      <c r="Z86" s="383" t="e">
        <f>IF(Z85&gt;0,Z85,IF(SUM(#REF!)=0,0,AA86))</f>
        <v>#REF!</v>
      </c>
      <c r="AA86" s="307">
        <f>AA85</f>
        <v>0.2</v>
      </c>
      <c r="AK86" s="308">
        <v>26</v>
      </c>
      <c r="AL86" s="303" t="str">
        <f t="shared" si="12"/>
        <v/>
      </c>
      <c r="AM86" s="381" t="e">
        <f t="shared" si="20"/>
        <v>#N/A</v>
      </c>
      <c r="AN86" s="381" t="e">
        <f t="shared" si="20"/>
        <v>#N/A</v>
      </c>
      <c r="AO86" s="381" t="e">
        <f t="shared" si="20"/>
        <v>#N/A</v>
      </c>
      <c r="AP86" s="380" t="e">
        <f t="shared" si="20"/>
        <v>#N/A</v>
      </c>
      <c r="AQ86" s="303" t="e">
        <f>NA()</f>
        <v>#N/A</v>
      </c>
      <c r="AR86" s="308"/>
      <c r="AU86" s="381" t="e">
        <f t="shared" si="16"/>
        <v>#N/A</v>
      </c>
      <c r="AV86" s="381" t="e">
        <f t="shared" si="21"/>
        <v>#N/A</v>
      </c>
      <c r="AW86" s="380" t="e">
        <f t="shared" si="21"/>
        <v>#N/A</v>
      </c>
    </row>
    <row r="87" spans="6:49" x14ac:dyDescent="0.25">
      <c r="F87" s="308" t="s">
        <v>135</v>
      </c>
      <c r="M87" s="307"/>
      <c r="T87" s="385">
        <f>T77</f>
        <v>0.45</v>
      </c>
      <c r="U87" s="307">
        <f>U77+1/3*(U78-U77)*U90</f>
        <v>0.35899999999999999</v>
      </c>
      <c r="W87" s="308" t="s">
        <v>70</v>
      </c>
      <c r="X87" s="383" t="e">
        <f>#REF!</f>
        <v>#REF!</v>
      </c>
      <c r="Y87" s="383">
        <v>0.08</v>
      </c>
      <c r="Z87" s="383" t="e">
        <f>IF(Z86&gt;0,Z86,IF(SUM(#REF!)=0,0,AA87))</f>
        <v>#REF!</v>
      </c>
      <c r="AA87" s="307">
        <f>AA86</f>
        <v>0.2</v>
      </c>
      <c r="AK87" s="308">
        <v>27</v>
      </c>
      <c r="AL87" s="303" t="str">
        <f t="shared" si="12"/>
        <v/>
      </c>
      <c r="AM87" s="381" t="e">
        <f t="shared" si="20"/>
        <v>#N/A</v>
      </c>
      <c r="AN87" s="381" t="e">
        <f t="shared" si="20"/>
        <v>#N/A</v>
      </c>
      <c r="AO87" s="381" t="e">
        <f t="shared" si="20"/>
        <v>#N/A</v>
      </c>
      <c r="AP87" s="380" t="e">
        <f t="shared" si="20"/>
        <v>#N/A</v>
      </c>
      <c r="AQ87" s="303" t="e">
        <f>NA()</f>
        <v>#N/A</v>
      </c>
      <c r="AR87" s="308"/>
      <c r="AU87" s="381" t="e">
        <f t="shared" si="16"/>
        <v>#N/A</v>
      </c>
      <c r="AV87" s="381" t="e">
        <f t="shared" si="21"/>
        <v>#N/A</v>
      </c>
      <c r="AW87" s="380" t="e">
        <f t="shared" si="21"/>
        <v>#N/A</v>
      </c>
    </row>
    <row r="88" spans="6:49" x14ac:dyDescent="0.25">
      <c r="F88" s="308"/>
      <c r="G88" s="303" t="s">
        <v>113</v>
      </c>
      <c r="M88" s="307"/>
      <c r="T88" s="385">
        <f>T87</f>
        <v>0.45</v>
      </c>
      <c r="U88" s="307">
        <f>U77+2/3*(U78-U77)*U90</f>
        <v>0.39500000000000002</v>
      </c>
      <c r="W88" s="308" t="s">
        <v>69</v>
      </c>
      <c r="X88" s="383" t="e">
        <f>#REF!</f>
        <v>#REF!</v>
      </c>
      <c r="Y88" s="383">
        <v>0.08</v>
      </c>
      <c r="Z88" s="383">
        <v>0.15</v>
      </c>
      <c r="AA88" s="307"/>
      <c r="AK88" s="308">
        <v>28</v>
      </c>
      <c r="AL88" s="303" t="str">
        <f t="shared" si="12"/>
        <v/>
      </c>
      <c r="AM88" s="381" t="e">
        <f t="shared" si="20"/>
        <v>#N/A</v>
      </c>
      <c r="AN88" s="381" t="e">
        <f t="shared" si="20"/>
        <v>#N/A</v>
      </c>
      <c r="AO88" s="381" t="e">
        <f t="shared" si="20"/>
        <v>#N/A</v>
      </c>
      <c r="AP88" s="380" t="e">
        <f t="shared" si="20"/>
        <v>#N/A</v>
      </c>
      <c r="AQ88" s="303" t="e">
        <f>NA()</f>
        <v>#N/A</v>
      </c>
      <c r="AR88" s="308"/>
      <c r="AU88" s="381" t="e">
        <f t="shared" si="16"/>
        <v>#N/A</v>
      </c>
      <c r="AV88" s="381" t="e">
        <f t="shared" si="21"/>
        <v>#N/A</v>
      </c>
      <c r="AW88" s="380" t="e">
        <f t="shared" si="21"/>
        <v>#N/A</v>
      </c>
    </row>
    <row r="89" spans="6:49" x14ac:dyDescent="0.25">
      <c r="F89" s="308"/>
      <c r="G89" s="303" t="s">
        <v>112</v>
      </c>
      <c r="H89" s="303" t="s">
        <v>111</v>
      </c>
      <c r="M89" s="307"/>
      <c r="T89" s="387">
        <f>T86</f>
        <v>0.75</v>
      </c>
      <c r="U89" s="304">
        <f>U81+2/3*(U80-U81)*U90</f>
        <v>0.34100000000000003</v>
      </c>
      <c r="W89" s="308" t="s">
        <v>68</v>
      </c>
      <c r="X89" s="383" t="e">
        <f>#REF!</f>
        <v>#REF!</v>
      </c>
      <c r="Y89" s="383">
        <v>0.08</v>
      </c>
      <c r="Z89" s="383">
        <v>0.15</v>
      </c>
      <c r="AA89" s="307"/>
      <c r="AK89" s="308">
        <v>29</v>
      </c>
      <c r="AL89" s="303" t="str">
        <f t="shared" si="12"/>
        <v/>
      </c>
      <c r="AM89" s="381" t="e">
        <f t="shared" si="20"/>
        <v>#N/A</v>
      </c>
      <c r="AN89" s="381" t="e">
        <f t="shared" si="20"/>
        <v>#N/A</v>
      </c>
      <c r="AO89" s="381" t="e">
        <f t="shared" si="20"/>
        <v>#N/A</v>
      </c>
      <c r="AP89" s="380" t="e">
        <f t="shared" si="20"/>
        <v>#N/A</v>
      </c>
      <c r="AQ89" s="303" t="e">
        <f>NA()</f>
        <v>#N/A</v>
      </c>
      <c r="AR89" s="308"/>
      <c r="AU89" s="381" t="e">
        <f t="shared" si="16"/>
        <v>#N/A</v>
      </c>
      <c r="AV89" s="381" t="e">
        <f t="shared" si="21"/>
        <v>#N/A</v>
      </c>
      <c r="AW89" s="380" t="e">
        <f t="shared" si="21"/>
        <v>#N/A</v>
      </c>
    </row>
    <row r="90" spans="6:49" x14ac:dyDescent="0.25">
      <c r="F90" s="308"/>
      <c r="G90" s="382">
        <v>0.8</v>
      </c>
      <c r="H90" s="382">
        <v>0.38</v>
      </c>
      <c r="M90" s="307"/>
      <c r="T90" s="368" t="s">
        <v>134</v>
      </c>
      <c r="U90" s="367">
        <v>0.9</v>
      </c>
      <c r="W90" s="308" t="s">
        <v>67</v>
      </c>
      <c r="X90" s="383" t="e">
        <f>#REF!</f>
        <v>#REF!</v>
      </c>
      <c r="Y90" s="383">
        <v>0</v>
      </c>
      <c r="Z90" s="383">
        <v>7.4999999999999997E-2</v>
      </c>
      <c r="AA90" s="307"/>
      <c r="AK90" s="308">
        <v>30</v>
      </c>
      <c r="AL90" s="303" t="str">
        <f t="shared" si="12"/>
        <v/>
      </c>
      <c r="AM90" s="381" t="e">
        <f t="shared" si="20"/>
        <v>#N/A</v>
      </c>
      <c r="AN90" s="381" t="e">
        <f t="shared" si="20"/>
        <v>#N/A</v>
      </c>
      <c r="AO90" s="381" t="e">
        <f t="shared" si="20"/>
        <v>#N/A</v>
      </c>
      <c r="AP90" s="380" t="e">
        <f t="shared" si="20"/>
        <v>#N/A</v>
      </c>
      <c r="AQ90" s="303" t="e">
        <f>NA()</f>
        <v>#N/A</v>
      </c>
      <c r="AR90" s="308"/>
      <c r="AU90" s="381" t="e">
        <f t="shared" si="16"/>
        <v>#N/A</v>
      </c>
      <c r="AV90" s="381" t="e">
        <f t="shared" si="21"/>
        <v>#N/A</v>
      </c>
      <c r="AW90" s="380" t="e">
        <f t="shared" si="21"/>
        <v>#N/A</v>
      </c>
    </row>
    <row r="91" spans="6:49" x14ac:dyDescent="0.25">
      <c r="F91" s="308"/>
      <c r="G91" s="382">
        <v>0.3</v>
      </c>
      <c r="H91" s="382">
        <v>0.47</v>
      </c>
      <c r="M91" s="307"/>
      <c r="W91" s="306" t="s">
        <v>66</v>
      </c>
      <c r="X91" s="386" t="e">
        <f>#REF!</f>
        <v>#REF!</v>
      </c>
      <c r="Y91" s="386">
        <v>0</v>
      </c>
      <c r="Z91" s="386">
        <v>0</v>
      </c>
      <c r="AA91" s="304"/>
      <c r="AK91" s="308">
        <v>31</v>
      </c>
      <c r="AL91" s="303" t="str">
        <f t="shared" si="12"/>
        <v/>
      </c>
      <c r="AM91" s="381" t="e">
        <f t="shared" si="20"/>
        <v>#N/A</v>
      </c>
      <c r="AN91" s="381" t="e">
        <f t="shared" si="20"/>
        <v>#N/A</v>
      </c>
      <c r="AO91" s="381" t="e">
        <f t="shared" si="20"/>
        <v>#N/A</v>
      </c>
      <c r="AP91" s="380" t="e">
        <f t="shared" si="20"/>
        <v>#N/A</v>
      </c>
      <c r="AQ91" s="303" t="e">
        <f>NA()</f>
        <v>#N/A</v>
      </c>
      <c r="AR91" s="308"/>
      <c r="AU91" s="381" t="e">
        <f t="shared" si="16"/>
        <v>#N/A</v>
      </c>
      <c r="AV91" s="381" t="e">
        <f t="shared" si="21"/>
        <v>#N/A</v>
      </c>
      <c r="AW91" s="380" t="e">
        <f t="shared" si="21"/>
        <v>#N/A</v>
      </c>
    </row>
    <row r="92" spans="6:49" x14ac:dyDescent="0.25">
      <c r="F92" s="308"/>
      <c r="G92" s="303" t="s">
        <v>110</v>
      </c>
      <c r="M92" s="307"/>
      <c r="AK92" s="308">
        <v>32</v>
      </c>
      <c r="AL92" s="303" t="str">
        <f t="shared" ref="AL92:AL123" si="22">IF(ISNA(VLOOKUP($AK92,$AK$43:$AP$56,AL$59,FALSE)),"",VLOOKUP($AK92,$AK$43:$AP$56,AL$59,FALSE))</f>
        <v/>
      </c>
      <c r="AM92" s="381" t="e">
        <f t="shared" si="20"/>
        <v>#N/A</v>
      </c>
      <c r="AN92" s="381" t="e">
        <f t="shared" si="20"/>
        <v>#N/A</v>
      </c>
      <c r="AO92" s="381" t="e">
        <f t="shared" si="20"/>
        <v>#N/A</v>
      </c>
      <c r="AP92" s="380" t="e">
        <f t="shared" si="20"/>
        <v>#N/A</v>
      </c>
      <c r="AQ92" s="303" t="e">
        <f>NA()</f>
        <v>#N/A</v>
      </c>
      <c r="AR92" s="308"/>
      <c r="AU92" s="381" t="e">
        <f t="shared" si="16"/>
        <v>#N/A</v>
      </c>
      <c r="AV92" s="381" t="e">
        <f t="shared" si="21"/>
        <v>#N/A</v>
      </c>
      <c r="AW92" s="380" t="e">
        <f t="shared" si="21"/>
        <v>#N/A</v>
      </c>
    </row>
    <row r="93" spans="6:49" x14ac:dyDescent="0.25">
      <c r="F93" s="308"/>
      <c r="G93" s="303" t="s">
        <v>109</v>
      </c>
      <c r="H93" s="303" t="s">
        <v>108</v>
      </c>
      <c r="I93" s="303" t="s">
        <v>107</v>
      </c>
      <c r="M93" s="307"/>
      <c r="AK93" s="308">
        <v>33</v>
      </c>
      <c r="AL93" s="303" t="str">
        <f t="shared" si="22"/>
        <v>No. 8</v>
      </c>
      <c r="AM93" s="381" t="e">
        <f t="shared" si="20"/>
        <v>#REF!</v>
      </c>
      <c r="AN93" s="381" t="e">
        <f t="shared" si="20"/>
        <v>#N/A</v>
      </c>
      <c r="AO93" s="381" t="e">
        <f t="shared" si="20"/>
        <v>#N/A</v>
      </c>
      <c r="AP93" s="380" t="e">
        <f t="shared" si="20"/>
        <v>#N/A</v>
      </c>
      <c r="AQ93" s="382">
        <f>AQ67</f>
        <v>1</v>
      </c>
      <c r="AR93" s="308"/>
      <c r="AU93" s="381" t="e">
        <f t="shared" ref="AU93:AU124" si="23">IF(ISBLANK(VLOOKUP($AK93,$AK$43:$AU$56,AU$59,FALSE)),NA(),VLOOKUP($AK93,$AK$43:$AU$56,AU$59,FALSE))</f>
        <v>#VALUE!</v>
      </c>
      <c r="AV93" s="381" t="str">
        <f t="shared" si="21"/>
        <v/>
      </c>
      <c r="AW93" s="380" t="str">
        <f t="shared" si="21"/>
        <v/>
      </c>
    </row>
    <row r="94" spans="6:49" x14ac:dyDescent="0.25">
      <c r="F94" s="308"/>
      <c r="G94" s="383" t="e">
        <f>G85</f>
        <v>#REF!</v>
      </c>
      <c r="H94" s="319" t="e">
        <f>G94*SLOPE(H90:H91,G90:G91)+INTERCEPT(H90:H91,G90:G91)</f>
        <v>#REF!</v>
      </c>
      <c r="I94" s="383" t="e">
        <f>I85</f>
        <v>#REF!</v>
      </c>
      <c r="M94" s="307"/>
      <c r="AK94" s="308">
        <v>34</v>
      </c>
      <c r="AL94" s="303" t="str">
        <f t="shared" si="22"/>
        <v/>
      </c>
      <c r="AM94" s="381" t="e">
        <f t="shared" si="20"/>
        <v>#N/A</v>
      </c>
      <c r="AN94" s="381" t="e">
        <f t="shared" si="20"/>
        <v>#N/A</v>
      </c>
      <c r="AO94" s="381" t="e">
        <f t="shared" si="20"/>
        <v>#N/A</v>
      </c>
      <c r="AP94" s="380" t="e">
        <f t="shared" si="20"/>
        <v>#N/A</v>
      </c>
      <c r="AQ94" s="303" t="e">
        <f>NA()</f>
        <v>#N/A</v>
      </c>
      <c r="AR94" s="308"/>
      <c r="AU94" s="381" t="e">
        <f t="shared" si="23"/>
        <v>#N/A</v>
      </c>
      <c r="AV94" s="381" t="e">
        <f t="shared" si="21"/>
        <v>#N/A</v>
      </c>
      <c r="AW94" s="380" t="e">
        <f t="shared" si="21"/>
        <v>#N/A</v>
      </c>
    </row>
    <row r="95" spans="6:49" x14ac:dyDescent="0.25">
      <c r="F95" s="308"/>
      <c r="I95" s="303" t="s">
        <v>133</v>
      </c>
      <c r="J95" s="303" t="e">
        <f>IF(I94&gt;=H94,TRUE,FALSE)</f>
        <v>#REF!</v>
      </c>
      <c r="M95" s="307"/>
      <c r="AK95" s="308">
        <v>35</v>
      </c>
      <c r="AL95" s="303" t="str">
        <f t="shared" si="22"/>
        <v/>
      </c>
      <c r="AM95" s="381" t="e">
        <f t="shared" si="20"/>
        <v>#N/A</v>
      </c>
      <c r="AN95" s="381" t="e">
        <f t="shared" si="20"/>
        <v>#N/A</v>
      </c>
      <c r="AO95" s="381" t="e">
        <f t="shared" si="20"/>
        <v>#N/A</v>
      </c>
      <c r="AP95" s="380" t="e">
        <f t="shared" si="20"/>
        <v>#N/A</v>
      </c>
      <c r="AQ95" s="303" t="e">
        <f>NA()</f>
        <v>#N/A</v>
      </c>
      <c r="AR95" s="308"/>
      <c r="AU95" s="381" t="e">
        <f t="shared" si="23"/>
        <v>#N/A</v>
      </c>
      <c r="AV95" s="381" t="e">
        <f t="shared" si="21"/>
        <v>#N/A</v>
      </c>
      <c r="AW95" s="380" t="e">
        <f t="shared" si="21"/>
        <v>#N/A</v>
      </c>
    </row>
    <row r="96" spans="6:49" x14ac:dyDescent="0.25">
      <c r="F96" s="308" t="s">
        <v>132</v>
      </c>
      <c r="M96" s="307"/>
      <c r="AK96" s="308">
        <v>36</v>
      </c>
      <c r="AL96" s="303" t="str">
        <f t="shared" si="22"/>
        <v/>
      </c>
      <c r="AM96" s="381" t="e">
        <f t="shared" si="20"/>
        <v>#N/A</v>
      </c>
      <c r="AN96" s="381" t="e">
        <f t="shared" si="20"/>
        <v>#N/A</v>
      </c>
      <c r="AO96" s="381" t="e">
        <f t="shared" si="20"/>
        <v>#N/A</v>
      </c>
      <c r="AP96" s="380" t="e">
        <f t="shared" si="20"/>
        <v>#N/A</v>
      </c>
      <c r="AQ96" s="303" t="e">
        <f>NA()</f>
        <v>#N/A</v>
      </c>
      <c r="AR96" s="308"/>
      <c r="AU96" s="381" t="e">
        <f t="shared" si="23"/>
        <v>#N/A</v>
      </c>
      <c r="AV96" s="381" t="e">
        <f t="shared" si="21"/>
        <v>#N/A</v>
      </c>
      <c r="AW96" s="380" t="e">
        <f t="shared" si="21"/>
        <v>#N/A</v>
      </c>
    </row>
    <row r="97" spans="6:49" x14ac:dyDescent="0.25">
      <c r="F97" s="308"/>
      <c r="G97" s="318" t="s">
        <v>131</v>
      </c>
      <c r="H97" s="303" t="e">
        <f>IF(OR(J86,J95),TRUE, FALSE)</f>
        <v>#REF!</v>
      </c>
      <c r="M97" s="307"/>
      <c r="AK97" s="308">
        <v>37</v>
      </c>
      <c r="AL97" s="303" t="str">
        <f t="shared" si="22"/>
        <v/>
      </c>
      <c r="AM97" s="381" t="e">
        <f t="shared" si="20"/>
        <v>#N/A</v>
      </c>
      <c r="AN97" s="381" t="e">
        <f t="shared" si="20"/>
        <v>#N/A</v>
      </c>
      <c r="AO97" s="381" t="e">
        <f t="shared" si="20"/>
        <v>#N/A</v>
      </c>
      <c r="AP97" s="380" t="e">
        <f t="shared" si="20"/>
        <v>#N/A</v>
      </c>
      <c r="AQ97" s="303" t="e">
        <f>NA()</f>
        <v>#N/A</v>
      </c>
      <c r="AR97" s="308"/>
      <c r="AU97" s="381" t="e">
        <f t="shared" si="23"/>
        <v>#N/A</v>
      </c>
      <c r="AV97" s="381" t="e">
        <f t="shared" si="21"/>
        <v>#N/A</v>
      </c>
      <c r="AW97" s="380" t="e">
        <f t="shared" si="21"/>
        <v>#N/A</v>
      </c>
    </row>
    <row r="98" spans="6:49" x14ac:dyDescent="0.25">
      <c r="F98" s="308"/>
      <c r="G98" s="318" t="s">
        <v>130</v>
      </c>
      <c r="H98" s="383" t="e">
        <f>G94</f>
        <v>#REF!</v>
      </c>
      <c r="M98" s="307"/>
      <c r="AK98" s="308">
        <v>38</v>
      </c>
      <c r="AL98" s="303" t="str">
        <f t="shared" si="22"/>
        <v/>
      </c>
      <c r="AM98" s="381" t="e">
        <f t="shared" si="20"/>
        <v>#N/A</v>
      </c>
      <c r="AN98" s="381" t="e">
        <f t="shared" si="20"/>
        <v>#N/A</v>
      </c>
      <c r="AO98" s="381" t="e">
        <f t="shared" si="20"/>
        <v>#N/A</v>
      </c>
      <c r="AP98" s="380" t="e">
        <f t="shared" si="20"/>
        <v>#N/A</v>
      </c>
      <c r="AQ98" s="303" t="e">
        <f>NA()</f>
        <v>#N/A</v>
      </c>
      <c r="AR98" s="308"/>
      <c r="AU98" s="381" t="e">
        <f t="shared" si="23"/>
        <v>#N/A</v>
      </c>
      <c r="AV98" s="381" t="e">
        <f t="shared" si="21"/>
        <v>#N/A</v>
      </c>
      <c r="AW98" s="380" t="e">
        <f t="shared" si="21"/>
        <v>#N/A</v>
      </c>
    </row>
    <row r="99" spans="6:49" x14ac:dyDescent="0.25">
      <c r="F99" s="308"/>
      <c r="G99" s="303" t="s">
        <v>129</v>
      </c>
      <c r="H99" s="303" t="s">
        <v>128</v>
      </c>
      <c r="M99" s="307"/>
      <c r="AK99" s="308">
        <v>39</v>
      </c>
      <c r="AL99" s="303" t="str">
        <f t="shared" si="22"/>
        <v/>
      </c>
      <c r="AM99" s="381" t="e">
        <f t="shared" si="20"/>
        <v>#N/A</v>
      </c>
      <c r="AN99" s="381" t="e">
        <f t="shared" si="20"/>
        <v>#N/A</v>
      </c>
      <c r="AO99" s="381" t="e">
        <f t="shared" si="20"/>
        <v>#N/A</v>
      </c>
      <c r="AP99" s="380" t="e">
        <f t="shared" si="20"/>
        <v>#N/A</v>
      </c>
      <c r="AQ99" s="303" t="e">
        <f>NA()</f>
        <v>#N/A</v>
      </c>
      <c r="AR99" s="308"/>
      <c r="AU99" s="381" t="e">
        <f t="shared" si="23"/>
        <v>#N/A</v>
      </c>
      <c r="AV99" s="381" t="e">
        <f t="shared" si="21"/>
        <v>#N/A</v>
      </c>
      <c r="AW99" s="380" t="e">
        <f t="shared" si="21"/>
        <v>#N/A</v>
      </c>
    </row>
    <row r="100" spans="6:49" x14ac:dyDescent="0.25">
      <c r="F100" s="308"/>
      <c r="G100" s="303">
        <v>1</v>
      </c>
      <c r="H100" s="382">
        <v>0.75</v>
      </c>
      <c r="I100" s="303" t="e">
        <f>IF(AND(NOT(H97),H98&gt;=H100),TRUE,FALSE)</f>
        <v>#REF!</v>
      </c>
      <c r="M100" s="307"/>
      <c r="AK100" s="308">
        <v>40</v>
      </c>
      <c r="AL100" s="303" t="str">
        <f t="shared" si="22"/>
        <v/>
      </c>
      <c r="AM100" s="381" t="e">
        <f t="shared" ref="AM100:AP119" si="24">IF(ISBLANK(VLOOKUP($AK100,$AK$43:$AP$56,AM$59,FALSE)),NA(),VLOOKUP($AK100,$AK$43:$AP$56,AM$59,FALSE))</f>
        <v>#N/A</v>
      </c>
      <c r="AN100" s="381" t="e">
        <f t="shared" si="24"/>
        <v>#N/A</v>
      </c>
      <c r="AO100" s="381" t="e">
        <f t="shared" si="24"/>
        <v>#N/A</v>
      </c>
      <c r="AP100" s="380" t="e">
        <f t="shared" si="24"/>
        <v>#N/A</v>
      </c>
      <c r="AQ100" s="303" t="e">
        <f>NA()</f>
        <v>#N/A</v>
      </c>
      <c r="AR100" s="308"/>
      <c r="AU100" s="381" t="e">
        <f t="shared" si="23"/>
        <v>#N/A</v>
      </c>
      <c r="AV100" s="381" t="e">
        <f t="shared" si="21"/>
        <v>#N/A</v>
      </c>
      <c r="AW100" s="380" t="e">
        <f t="shared" si="21"/>
        <v>#N/A</v>
      </c>
    </row>
    <row r="101" spans="6:49" x14ac:dyDescent="0.25">
      <c r="F101" s="308"/>
      <c r="G101" s="303">
        <v>2</v>
      </c>
      <c r="H101" s="382">
        <v>0.45</v>
      </c>
      <c r="I101" s="303" t="e">
        <f>IF(AND(NOT(H97),H98&gt;=H101,NOT(I100)),TRUE,FALSE)</f>
        <v>#REF!</v>
      </c>
      <c r="M101" s="307"/>
      <c r="AK101" s="308">
        <v>41</v>
      </c>
      <c r="AL101" s="303" t="str">
        <f t="shared" si="22"/>
        <v/>
      </c>
      <c r="AM101" s="381" t="e">
        <f t="shared" si="24"/>
        <v>#N/A</v>
      </c>
      <c r="AN101" s="381" t="e">
        <f t="shared" si="24"/>
        <v>#N/A</v>
      </c>
      <c r="AO101" s="381" t="e">
        <f t="shared" si="24"/>
        <v>#N/A</v>
      </c>
      <c r="AP101" s="380" t="e">
        <f t="shared" si="24"/>
        <v>#N/A</v>
      </c>
      <c r="AQ101" s="303" t="e">
        <f>NA()</f>
        <v>#N/A</v>
      </c>
      <c r="AR101" s="308"/>
      <c r="AU101" s="381" t="e">
        <f t="shared" si="23"/>
        <v>#N/A</v>
      </c>
      <c r="AV101" s="381" t="e">
        <f t="shared" ref="AV101:AW120" si="25">IF(ISBLANK(VLOOKUP($AK101,$AK$43:$AW$56,AV$59,FALSE)),NA(),VLOOKUP($AK101,$AK$43:$AW$56,AV$59,FALSE))</f>
        <v>#N/A</v>
      </c>
      <c r="AW101" s="380" t="e">
        <f t="shared" si="25"/>
        <v>#N/A</v>
      </c>
    </row>
    <row r="102" spans="6:49" x14ac:dyDescent="0.25">
      <c r="F102" s="308"/>
      <c r="G102" s="303">
        <v>3</v>
      </c>
      <c r="H102" s="382">
        <v>0</v>
      </c>
      <c r="I102" s="303" t="e">
        <f>IF(AND(NOT(H97),H98&gt;=H102,NOT(I101),NOT(I100)),TRUE,FALSE)</f>
        <v>#REF!</v>
      </c>
      <c r="M102" s="307"/>
      <c r="AK102" s="308">
        <v>42</v>
      </c>
      <c r="AL102" s="303" t="str">
        <f t="shared" si="22"/>
        <v/>
      </c>
      <c r="AM102" s="381" t="e">
        <f t="shared" si="24"/>
        <v>#N/A</v>
      </c>
      <c r="AN102" s="381" t="e">
        <f t="shared" si="24"/>
        <v>#N/A</v>
      </c>
      <c r="AO102" s="381" t="e">
        <f t="shared" si="24"/>
        <v>#N/A</v>
      </c>
      <c r="AP102" s="380" t="e">
        <f t="shared" si="24"/>
        <v>#N/A</v>
      </c>
      <c r="AQ102" s="303" t="e">
        <f>NA()</f>
        <v>#N/A</v>
      </c>
      <c r="AR102" s="308"/>
      <c r="AU102" s="381" t="e">
        <f t="shared" si="23"/>
        <v>#N/A</v>
      </c>
      <c r="AV102" s="381" t="e">
        <f t="shared" si="25"/>
        <v>#N/A</v>
      </c>
      <c r="AW102" s="380" t="e">
        <f t="shared" si="25"/>
        <v>#N/A</v>
      </c>
    </row>
    <row r="103" spans="6:49" x14ac:dyDescent="0.25">
      <c r="F103" s="308"/>
      <c r="M103" s="307"/>
      <c r="AK103" s="308">
        <v>43</v>
      </c>
      <c r="AL103" s="303" t="str">
        <f t="shared" si="22"/>
        <v/>
      </c>
      <c r="AM103" s="381" t="e">
        <f t="shared" si="24"/>
        <v>#N/A</v>
      </c>
      <c r="AN103" s="381" t="e">
        <f t="shared" si="24"/>
        <v>#N/A</v>
      </c>
      <c r="AO103" s="381" t="e">
        <f t="shared" si="24"/>
        <v>#N/A</v>
      </c>
      <c r="AP103" s="380" t="e">
        <f t="shared" si="24"/>
        <v>#N/A</v>
      </c>
      <c r="AQ103" s="303" t="e">
        <f>NA()</f>
        <v>#N/A</v>
      </c>
      <c r="AR103" s="308"/>
      <c r="AU103" s="381" t="e">
        <f t="shared" si="23"/>
        <v>#N/A</v>
      </c>
      <c r="AV103" s="381" t="e">
        <f t="shared" si="25"/>
        <v>#N/A</v>
      </c>
      <c r="AW103" s="380" t="e">
        <f t="shared" si="25"/>
        <v>#N/A</v>
      </c>
    </row>
    <row r="104" spans="6:49" x14ac:dyDescent="0.25">
      <c r="F104" s="308" t="e">
        <f>I100</f>
        <v>#REF!</v>
      </c>
      <c r="G104" s="303" t="s">
        <v>127</v>
      </c>
      <c r="H104" s="303" t="s">
        <v>126</v>
      </c>
      <c r="I104" s="303" t="str">
        <f>G104&amp;", "&amp;H104</f>
        <v>Zone I , Gap-graded and tends to segregate</v>
      </c>
      <c r="M104" s="307"/>
      <c r="AK104" s="308">
        <v>44</v>
      </c>
      <c r="AL104" s="303" t="str">
        <f t="shared" si="22"/>
        <v/>
      </c>
      <c r="AM104" s="381" t="e">
        <f t="shared" si="24"/>
        <v>#N/A</v>
      </c>
      <c r="AN104" s="381" t="e">
        <f t="shared" si="24"/>
        <v>#N/A</v>
      </c>
      <c r="AO104" s="381" t="e">
        <f t="shared" si="24"/>
        <v>#N/A</v>
      </c>
      <c r="AP104" s="380" t="e">
        <f t="shared" si="24"/>
        <v>#N/A</v>
      </c>
      <c r="AQ104" s="303" t="e">
        <f>NA()</f>
        <v>#N/A</v>
      </c>
      <c r="AR104" s="308"/>
      <c r="AU104" s="381" t="e">
        <f t="shared" si="23"/>
        <v>#N/A</v>
      </c>
      <c r="AV104" s="381" t="e">
        <f t="shared" si="25"/>
        <v>#N/A</v>
      </c>
      <c r="AW104" s="380" t="e">
        <f t="shared" si="25"/>
        <v>#N/A</v>
      </c>
    </row>
    <row r="105" spans="6:49" x14ac:dyDescent="0.25">
      <c r="F105" s="308" t="e">
        <f>I101</f>
        <v>#REF!</v>
      </c>
      <c r="G105" s="303" t="s">
        <v>125</v>
      </c>
      <c r="H105" s="303" t="s">
        <v>124</v>
      </c>
      <c r="I105" s="303" t="str">
        <f>G105&amp;", "&amp;H105</f>
        <v>Zone II, Well graded 1-1/2 to 3/4 in.</v>
      </c>
      <c r="M105" s="307"/>
      <c r="AK105" s="308">
        <v>45</v>
      </c>
      <c r="AL105" s="303" t="str">
        <f t="shared" si="22"/>
        <v>No. 4</v>
      </c>
      <c r="AM105" s="381" t="e">
        <f t="shared" si="24"/>
        <v>#REF!</v>
      </c>
      <c r="AN105" s="381" t="e">
        <f t="shared" si="24"/>
        <v>#N/A</v>
      </c>
      <c r="AO105" s="381" t="e">
        <f t="shared" si="24"/>
        <v>#N/A</v>
      </c>
      <c r="AP105" s="380" t="e">
        <f t="shared" si="24"/>
        <v>#N/A</v>
      </c>
      <c r="AQ105" s="382">
        <f>AQ67</f>
        <v>1</v>
      </c>
      <c r="AR105" s="308"/>
      <c r="AU105" s="381" t="e">
        <f t="shared" si="23"/>
        <v>#VALUE!</v>
      </c>
      <c r="AV105" s="381" t="str">
        <f t="shared" si="25"/>
        <v/>
      </c>
      <c r="AW105" s="380" t="str">
        <f t="shared" si="25"/>
        <v/>
      </c>
    </row>
    <row r="106" spans="6:49" x14ac:dyDescent="0.25">
      <c r="F106" s="308" t="e">
        <f>I102</f>
        <v>#REF!</v>
      </c>
      <c r="G106" s="303" t="s">
        <v>123</v>
      </c>
      <c r="H106" s="303" t="s">
        <v>122</v>
      </c>
      <c r="I106" s="303" t="str">
        <f>G106&amp;", "&amp;H106</f>
        <v>Zone III, Well Graded 3/4 in. and finer</v>
      </c>
      <c r="M106" s="307"/>
      <c r="AK106" s="308">
        <v>46</v>
      </c>
      <c r="AL106" s="303" t="str">
        <f t="shared" si="22"/>
        <v/>
      </c>
      <c r="AM106" s="381" t="e">
        <f t="shared" si="24"/>
        <v>#N/A</v>
      </c>
      <c r="AN106" s="381" t="e">
        <f t="shared" si="24"/>
        <v>#N/A</v>
      </c>
      <c r="AO106" s="381" t="e">
        <f t="shared" si="24"/>
        <v>#N/A</v>
      </c>
      <c r="AP106" s="380" t="e">
        <f t="shared" si="24"/>
        <v>#N/A</v>
      </c>
      <c r="AQ106" s="303" t="e">
        <f>NA()</f>
        <v>#N/A</v>
      </c>
      <c r="AR106" s="308"/>
      <c r="AU106" s="381" t="e">
        <f t="shared" si="23"/>
        <v>#N/A</v>
      </c>
      <c r="AV106" s="381" t="e">
        <f t="shared" si="25"/>
        <v>#N/A</v>
      </c>
      <c r="AW106" s="380" t="e">
        <f t="shared" si="25"/>
        <v>#N/A</v>
      </c>
    </row>
    <row r="107" spans="6:49" x14ac:dyDescent="0.25">
      <c r="F107" s="308" t="e">
        <f>J95</f>
        <v>#REF!</v>
      </c>
      <c r="G107" s="303" t="s">
        <v>121</v>
      </c>
      <c r="H107" s="303" t="s">
        <v>120</v>
      </c>
      <c r="I107" s="303" t="str">
        <f>G107&amp;", "&amp;H107</f>
        <v>Zone IV, Sticky</v>
      </c>
      <c r="M107" s="307"/>
      <c r="AK107" s="308">
        <v>47</v>
      </c>
      <c r="AL107" s="303" t="str">
        <f t="shared" si="22"/>
        <v/>
      </c>
      <c r="AM107" s="381" t="e">
        <f t="shared" si="24"/>
        <v>#N/A</v>
      </c>
      <c r="AN107" s="381" t="e">
        <f t="shared" si="24"/>
        <v>#N/A</v>
      </c>
      <c r="AO107" s="381" t="e">
        <f t="shared" si="24"/>
        <v>#N/A</v>
      </c>
      <c r="AP107" s="380" t="e">
        <f t="shared" si="24"/>
        <v>#N/A</v>
      </c>
      <c r="AQ107" s="303" t="e">
        <f>NA()</f>
        <v>#N/A</v>
      </c>
      <c r="AR107" s="308"/>
      <c r="AU107" s="381" t="e">
        <f t="shared" si="23"/>
        <v>#N/A</v>
      </c>
      <c r="AV107" s="381" t="e">
        <f t="shared" si="25"/>
        <v>#N/A</v>
      </c>
      <c r="AW107" s="380" t="e">
        <f t="shared" si="25"/>
        <v>#N/A</v>
      </c>
    </row>
    <row r="108" spans="6:49" x14ac:dyDescent="0.25">
      <c r="F108" s="308" t="e">
        <f>J86</f>
        <v>#REF!</v>
      </c>
      <c r="G108" s="303" t="s">
        <v>119</v>
      </c>
      <c r="H108" s="303" t="s">
        <v>118</v>
      </c>
      <c r="I108" s="303" t="str">
        <f>G108&amp;", "&amp;H108</f>
        <v>Zone V, Rocky</v>
      </c>
      <c r="M108" s="307"/>
      <c r="AK108" s="308">
        <v>48</v>
      </c>
      <c r="AL108" s="303" t="str">
        <f t="shared" si="22"/>
        <v/>
      </c>
      <c r="AM108" s="381" t="e">
        <f t="shared" si="24"/>
        <v>#N/A</v>
      </c>
      <c r="AN108" s="381" t="e">
        <f t="shared" si="24"/>
        <v>#N/A</v>
      </c>
      <c r="AO108" s="381" t="e">
        <f t="shared" si="24"/>
        <v>#N/A</v>
      </c>
      <c r="AP108" s="380" t="e">
        <f t="shared" si="24"/>
        <v>#N/A</v>
      </c>
      <c r="AQ108" s="303" t="e">
        <f>NA()</f>
        <v>#N/A</v>
      </c>
      <c r="AR108" s="308"/>
      <c r="AU108" s="381" t="e">
        <f t="shared" si="23"/>
        <v>#N/A</v>
      </c>
      <c r="AV108" s="381" t="e">
        <f t="shared" si="25"/>
        <v>#N/A</v>
      </c>
      <c r="AW108" s="380" t="e">
        <f t="shared" si="25"/>
        <v>#N/A</v>
      </c>
    </row>
    <row r="109" spans="6:49" x14ac:dyDescent="0.25">
      <c r="F109" s="306" t="e">
        <f>VLOOKUP(TRUE,F104:I108,4,FALSE)</f>
        <v>#N/A</v>
      </c>
      <c r="G109" s="305"/>
      <c r="H109" s="305"/>
      <c r="I109" s="305"/>
      <c r="J109" s="305"/>
      <c r="K109" s="305"/>
      <c r="L109" s="305"/>
      <c r="M109" s="304"/>
      <c r="AK109" s="308">
        <v>49</v>
      </c>
      <c r="AL109" s="303" t="str">
        <f t="shared" si="22"/>
        <v/>
      </c>
      <c r="AM109" s="381" t="e">
        <f t="shared" si="24"/>
        <v>#N/A</v>
      </c>
      <c r="AN109" s="381" t="e">
        <f t="shared" si="24"/>
        <v>#N/A</v>
      </c>
      <c r="AO109" s="381" t="e">
        <f t="shared" si="24"/>
        <v>#N/A</v>
      </c>
      <c r="AP109" s="380" t="e">
        <f t="shared" si="24"/>
        <v>#N/A</v>
      </c>
      <c r="AQ109" s="303" t="e">
        <f>NA()</f>
        <v>#N/A</v>
      </c>
      <c r="AR109" s="308"/>
      <c r="AU109" s="381" t="e">
        <f t="shared" si="23"/>
        <v>#N/A</v>
      </c>
      <c r="AV109" s="381" t="e">
        <f t="shared" si="25"/>
        <v>#N/A</v>
      </c>
      <c r="AW109" s="380" t="e">
        <f t="shared" si="25"/>
        <v>#N/A</v>
      </c>
    </row>
    <row r="110" spans="6:49" x14ac:dyDescent="0.25">
      <c r="F110" s="347" t="s">
        <v>117</v>
      </c>
      <c r="G110" s="330"/>
      <c r="H110" s="330"/>
      <c r="I110" s="330"/>
      <c r="J110" s="330"/>
      <c r="K110" s="330"/>
      <c r="L110" s="330"/>
      <c r="M110" s="329"/>
      <c r="AK110" s="308">
        <v>50</v>
      </c>
      <c r="AL110" s="303" t="str">
        <f t="shared" si="22"/>
        <v/>
      </c>
      <c r="AM110" s="381" t="e">
        <f t="shared" si="24"/>
        <v>#N/A</v>
      </c>
      <c r="AN110" s="381" t="e">
        <f t="shared" si="24"/>
        <v>#N/A</v>
      </c>
      <c r="AO110" s="381" t="e">
        <f t="shared" si="24"/>
        <v>#N/A</v>
      </c>
      <c r="AP110" s="380" t="e">
        <f t="shared" si="24"/>
        <v>#N/A</v>
      </c>
      <c r="AQ110" s="303" t="e">
        <f>NA()</f>
        <v>#N/A</v>
      </c>
      <c r="AR110" s="308"/>
      <c r="AU110" s="381" t="e">
        <f t="shared" si="23"/>
        <v>#N/A</v>
      </c>
      <c r="AV110" s="381" t="e">
        <f t="shared" si="25"/>
        <v>#N/A</v>
      </c>
      <c r="AW110" s="380" t="e">
        <f t="shared" si="25"/>
        <v>#N/A</v>
      </c>
    </row>
    <row r="111" spans="6:49" x14ac:dyDescent="0.25">
      <c r="F111" s="308" t="s">
        <v>116</v>
      </c>
      <c r="M111" s="307"/>
      <c r="AK111" s="308">
        <v>51</v>
      </c>
      <c r="AL111" s="303" t="str">
        <f t="shared" si="22"/>
        <v/>
      </c>
      <c r="AM111" s="381" t="e">
        <f t="shared" si="24"/>
        <v>#N/A</v>
      </c>
      <c r="AN111" s="381" t="e">
        <f t="shared" si="24"/>
        <v>#N/A</v>
      </c>
      <c r="AO111" s="381" t="e">
        <f t="shared" si="24"/>
        <v>#N/A</v>
      </c>
      <c r="AP111" s="380" t="e">
        <f t="shared" si="24"/>
        <v>#N/A</v>
      </c>
      <c r="AQ111" s="303" t="e">
        <f>NA()</f>
        <v>#N/A</v>
      </c>
      <c r="AR111" s="308"/>
      <c r="AU111" s="381" t="e">
        <f t="shared" si="23"/>
        <v>#N/A</v>
      </c>
      <c r="AV111" s="381" t="e">
        <f t="shared" si="25"/>
        <v>#N/A</v>
      </c>
      <c r="AW111" s="380" t="e">
        <f t="shared" si="25"/>
        <v>#N/A</v>
      </c>
    </row>
    <row r="112" spans="6:49" x14ac:dyDescent="0.25">
      <c r="F112" s="308"/>
      <c r="G112" s="303" t="s">
        <v>113</v>
      </c>
      <c r="M112" s="307"/>
      <c r="AK112" s="308">
        <v>52</v>
      </c>
      <c r="AL112" s="303" t="str">
        <f t="shared" si="22"/>
        <v/>
      </c>
      <c r="AM112" s="381" t="e">
        <f t="shared" si="24"/>
        <v>#N/A</v>
      </c>
      <c r="AN112" s="381" t="e">
        <f t="shared" si="24"/>
        <v>#N/A</v>
      </c>
      <c r="AO112" s="381" t="e">
        <f t="shared" si="24"/>
        <v>#N/A</v>
      </c>
      <c r="AP112" s="380" t="e">
        <f t="shared" si="24"/>
        <v>#N/A</v>
      </c>
      <c r="AQ112" s="303" t="e">
        <f>NA()</f>
        <v>#N/A</v>
      </c>
      <c r="AR112" s="308"/>
      <c r="AU112" s="381" t="e">
        <f t="shared" si="23"/>
        <v>#N/A</v>
      </c>
      <c r="AV112" s="381" t="e">
        <f t="shared" si="25"/>
        <v>#N/A</v>
      </c>
      <c r="AW112" s="380" t="e">
        <f t="shared" si="25"/>
        <v>#N/A</v>
      </c>
    </row>
    <row r="113" spans="6:49" x14ac:dyDescent="0.25">
      <c r="F113" s="308"/>
      <c r="G113" s="303" t="s">
        <v>112</v>
      </c>
      <c r="H113" s="303" t="s">
        <v>111</v>
      </c>
      <c r="M113" s="307"/>
      <c r="AK113" s="308">
        <v>53</v>
      </c>
      <c r="AL113" s="303" t="str">
        <f t="shared" si="22"/>
        <v/>
      </c>
      <c r="AM113" s="381" t="e">
        <f t="shared" si="24"/>
        <v>#N/A</v>
      </c>
      <c r="AN113" s="381" t="e">
        <f t="shared" si="24"/>
        <v>#N/A</v>
      </c>
      <c r="AO113" s="381" t="e">
        <f t="shared" si="24"/>
        <v>#N/A</v>
      </c>
      <c r="AP113" s="380" t="e">
        <f t="shared" si="24"/>
        <v>#N/A</v>
      </c>
      <c r="AQ113" s="303" t="e">
        <f>NA()</f>
        <v>#N/A</v>
      </c>
      <c r="AR113" s="308"/>
      <c r="AU113" s="381" t="e">
        <f t="shared" si="23"/>
        <v>#N/A</v>
      </c>
      <c r="AV113" s="381" t="e">
        <f t="shared" si="25"/>
        <v>#N/A</v>
      </c>
      <c r="AW113" s="380" t="e">
        <f t="shared" si="25"/>
        <v>#N/A</v>
      </c>
    </row>
    <row r="114" spans="6:49" x14ac:dyDescent="0.25">
      <c r="F114" s="308"/>
      <c r="G114" s="385">
        <v>0.68</v>
      </c>
      <c r="H114" s="384">
        <v>0.32</v>
      </c>
      <c r="M114" s="307"/>
      <c r="AK114" s="308">
        <v>54</v>
      </c>
      <c r="AL114" s="303" t="str">
        <f t="shared" si="22"/>
        <v/>
      </c>
      <c r="AM114" s="381" t="e">
        <f t="shared" si="24"/>
        <v>#N/A</v>
      </c>
      <c r="AN114" s="381" t="e">
        <f t="shared" si="24"/>
        <v>#N/A</v>
      </c>
      <c r="AO114" s="381" t="e">
        <f t="shared" si="24"/>
        <v>#N/A</v>
      </c>
      <c r="AP114" s="380" t="e">
        <f t="shared" si="24"/>
        <v>#N/A</v>
      </c>
      <c r="AQ114" s="303" t="e">
        <f>NA()</f>
        <v>#N/A</v>
      </c>
      <c r="AR114" s="308"/>
      <c r="AU114" s="381" t="e">
        <f t="shared" si="23"/>
        <v>#N/A</v>
      </c>
      <c r="AV114" s="381" t="e">
        <f t="shared" si="25"/>
        <v>#N/A</v>
      </c>
      <c r="AW114" s="380" t="e">
        <f t="shared" si="25"/>
        <v>#N/A</v>
      </c>
    </row>
    <row r="115" spans="6:49" x14ac:dyDescent="0.25">
      <c r="F115" s="308"/>
      <c r="G115" s="385">
        <v>0.52</v>
      </c>
      <c r="H115" s="384">
        <v>0.34</v>
      </c>
      <c r="M115" s="307"/>
      <c r="AK115" s="308">
        <v>55</v>
      </c>
      <c r="AL115" s="303" t="str">
        <f t="shared" si="22"/>
        <v/>
      </c>
      <c r="AM115" s="381" t="e">
        <f t="shared" si="24"/>
        <v>#N/A</v>
      </c>
      <c r="AN115" s="381" t="e">
        <f t="shared" si="24"/>
        <v>#N/A</v>
      </c>
      <c r="AO115" s="381" t="e">
        <f t="shared" si="24"/>
        <v>#N/A</v>
      </c>
      <c r="AP115" s="380" t="e">
        <f t="shared" si="24"/>
        <v>#N/A</v>
      </c>
      <c r="AQ115" s="303" t="e">
        <f>NA()</f>
        <v>#N/A</v>
      </c>
      <c r="AR115" s="308"/>
      <c r="AU115" s="381" t="e">
        <f t="shared" si="23"/>
        <v>#N/A</v>
      </c>
      <c r="AV115" s="381" t="e">
        <f t="shared" si="25"/>
        <v>#N/A</v>
      </c>
      <c r="AW115" s="380" t="e">
        <f t="shared" si="25"/>
        <v>#N/A</v>
      </c>
    </row>
    <row r="116" spans="6:49" x14ac:dyDescent="0.25">
      <c r="F116" s="308"/>
      <c r="G116" s="303" t="s">
        <v>110</v>
      </c>
      <c r="M116" s="307"/>
      <c r="AK116" s="308">
        <v>56</v>
      </c>
      <c r="AL116" s="303" t="str">
        <f t="shared" si="22"/>
        <v/>
      </c>
      <c r="AM116" s="381" t="e">
        <f t="shared" si="24"/>
        <v>#N/A</v>
      </c>
      <c r="AN116" s="381" t="e">
        <f t="shared" si="24"/>
        <v>#N/A</v>
      </c>
      <c r="AO116" s="381" t="e">
        <f t="shared" si="24"/>
        <v>#N/A</v>
      </c>
      <c r="AP116" s="380" t="e">
        <f t="shared" si="24"/>
        <v>#N/A</v>
      </c>
      <c r="AQ116" s="303" t="e">
        <f>NA()</f>
        <v>#N/A</v>
      </c>
      <c r="AR116" s="308"/>
      <c r="AU116" s="381" t="e">
        <f t="shared" si="23"/>
        <v>#N/A</v>
      </c>
      <c r="AV116" s="381" t="e">
        <f t="shared" si="25"/>
        <v>#N/A</v>
      </c>
      <c r="AW116" s="380" t="e">
        <f t="shared" si="25"/>
        <v>#N/A</v>
      </c>
    </row>
    <row r="117" spans="6:49" x14ac:dyDescent="0.25">
      <c r="F117" s="308"/>
      <c r="G117" s="303" t="s">
        <v>109</v>
      </c>
      <c r="H117" s="303" t="s">
        <v>108</v>
      </c>
      <c r="I117" s="303" t="s">
        <v>107</v>
      </c>
      <c r="M117" s="307"/>
      <c r="AK117" s="308">
        <v>57</v>
      </c>
      <c r="AL117" s="303" t="str">
        <f t="shared" si="22"/>
        <v/>
      </c>
      <c r="AM117" s="381" t="e">
        <f t="shared" si="24"/>
        <v>#N/A</v>
      </c>
      <c r="AN117" s="381" t="e">
        <f t="shared" si="24"/>
        <v>#N/A</v>
      </c>
      <c r="AO117" s="381" t="e">
        <f t="shared" si="24"/>
        <v>#N/A</v>
      </c>
      <c r="AP117" s="380" t="e">
        <f t="shared" si="24"/>
        <v>#N/A</v>
      </c>
      <c r="AQ117" s="303" t="e">
        <f>NA()</f>
        <v>#N/A</v>
      </c>
      <c r="AR117" s="308"/>
      <c r="AU117" s="381" t="e">
        <f t="shared" si="23"/>
        <v>#N/A</v>
      </c>
      <c r="AV117" s="381" t="e">
        <f t="shared" si="25"/>
        <v>#N/A</v>
      </c>
      <c r="AW117" s="380" t="e">
        <f t="shared" si="25"/>
        <v>#N/A</v>
      </c>
    </row>
    <row r="118" spans="6:49" x14ac:dyDescent="0.25">
      <c r="F118" s="308"/>
      <c r="G118" s="383" t="e">
        <f>J58</f>
        <v>#REF!</v>
      </c>
      <c r="H118" s="319" t="e">
        <f>G118*SLOPE(H114:H115,G114:G115)+INTERCEPT(H114:H115,G114:G115)</f>
        <v>#REF!</v>
      </c>
      <c r="I118" s="383" t="e">
        <f>J61</f>
        <v>#REF!</v>
      </c>
      <c r="M118" s="307"/>
      <c r="AK118" s="308">
        <v>58</v>
      </c>
      <c r="AL118" s="303" t="str">
        <f t="shared" si="22"/>
        <v/>
      </c>
      <c r="AM118" s="381" t="e">
        <f t="shared" si="24"/>
        <v>#N/A</v>
      </c>
      <c r="AN118" s="381" t="e">
        <f t="shared" si="24"/>
        <v>#N/A</v>
      </c>
      <c r="AO118" s="381" t="e">
        <f t="shared" si="24"/>
        <v>#N/A</v>
      </c>
      <c r="AP118" s="380" t="e">
        <f t="shared" si="24"/>
        <v>#N/A</v>
      </c>
      <c r="AQ118" s="303" t="e">
        <f>NA()</f>
        <v>#N/A</v>
      </c>
      <c r="AR118" s="308"/>
      <c r="AU118" s="381" t="e">
        <f t="shared" si="23"/>
        <v>#N/A</v>
      </c>
      <c r="AV118" s="381" t="e">
        <f t="shared" si="25"/>
        <v>#N/A</v>
      </c>
      <c r="AW118" s="380" t="e">
        <f t="shared" si="25"/>
        <v>#N/A</v>
      </c>
    </row>
    <row r="119" spans="6:49" x14ac:dyDescent="0.25">
      <c r="F119" s="308"/>
      <c r="I119" s="318" t="s">
        <v>115</v>
      </c>
      <c r="J119" s="303" t="e">
        <f>IF(H118&lt;=I118,TRUE,FALSE)</f>
        <v>#REF!</v>
      </c>
      <c r="M119" s="307"/>
      <c r="AK119" s="308">
        <v>59</v>
      </c>
      <c r="AL119" s="303" t="str">
        <f t="shared" si="22"/>
        <v/>
      </c>
      <c r="AM119" s="381" t="e">
        <f t="shared" si="24"/>
        <v>#N/A</v>
      </c>
      <c r="AN119" s="381" t="e">
        <f t="shared" si="24"/>
        <v>#N/A</v>
      </c>
      <c r="AO119" s="381" t="e">
        <f t="shared" si="24"/>
        <v>#N/A</v>
      </c>
      <c r="AP119" s="380" t="e">
        <f t="shared" si="24"/>
        <v>#N/A</v>
      </c>
      <c r="AQ119" s="303" t="e">
        <f>NA()</f>
        <v>#N/A</v>
      </c>
      <c r="AR119" s="308"/>
      <c r="AU119" s="381" t="e">
        <f t="shared" si="23"/>
        <v>#N/A</v>
      </c>
      <c r="AV119" s="381" t="e">
        <f t="shared" si="25"/>
        <v>#N/A</v>
      </c>
      <c r="AW119" s="380" t="e">
        <f t="shared" si="25"/>
        <v>#N/A</v>
      </c>
    </row>
    <row r="120" spans="6:49" x14ac:dyDescent="0.25">
      <c r="F120" s="308" t="s">
        <v>114</v>
      </c>
      <c r="M120" s="307"/>
      <c r="AK120" s="308">
        <v>60</v>
      </c>
      <c r="AL120" s="303" t="str">
        <f t="shared" si="22"/>
        <v/>
      </c>
      <c r="AM120" s="381" t="e">
        <f t="shared" ref="AM120:AP139" si="26">IF(ISBLANK(VLOOKUP($AK120,$AK$43:$AP$56,AM$59,FALSE)),NA(),VLOOKUP($AK120,$AK$43:$AP$56,AM$59,FALSE))</f>
        <v>#N/A</v>
      </c>
      <c r="AN120" s="381" t="e">
        <f t="shared" si="26"/>
        <v>#N/A</v>
      </c>
      <c r="AO120" s="381" t="e">
        <f t="shared" si="26"/>
        <v>#N/A</v>
      </c>
      <c r="AP120" s="380" t="e">
        <f t="shared" si="26"/>
        <v>#N/A</v>
      </c>
      <c r="AQ120" s="303" t="e">
        <f>NA()</f>
        <v>#N/A</v>
      </c>
      <c r="AR120" s="308"/>
      <c r="AU120" s="381" t="e">
        <f t="shared" si="23"/>
        <v>#N/A</v>
      </c>
      <c r="AV120" s="381" t="e">
        <f t="shared" si="25"/>
        <v>#N/A</v>
      </c>
      <c r="AW120" s="380" t="e">
        <f t="shared" si="25"/>
        <v>#N/A</v>
      </c>
    </row>
    <row r="121" spans="6:49" x14ac:dyDescent="0.25">
      <c r="F121" s="308"/>
      <c r="G121" s="303" t="s">
        <v>113</v>
      </c>
      <c r="M121" s="307"/>
      <c r="AK121" s="308">
        <v>61</v>
      </c>
      <c r="AL121" s="303" t="str">
        <f t="shared" si="22"/>
        <v/>
      </c>
      <c r="AM121" s="381" t="e">
        <f t="shared" si="26"/>
        <v>#N/A</v>
      </c>
      <c r="AN121" s="381" t="e">
        <f t="shared" si="26"/>
        <v>#N/A</v>
      </c>
      <c r="AO121" s="381" t="e">
        <f t="shared" si="26"/>
        <v>#N/A</v>
      </c>
      <c r="AP121" s="380" t="e">
        <f t="shared" si="26"/>
        <v>#N/A</v>
      </c>
      <c r="AQ121" s="303" t="e">
        <f>NA()</f>
        <v>#N/A</v>
      </c>
      <c r="AR121" s="308"/>
      <c r="AU121" s="381" t="e">
        <f t="shared" si="23"/>
        <v>#N/A</v>
      </c>
      <c r="AV121" s="381" t="e">
        <f t="shared" ref="AV121:AW140" si="27">IF(ISBLANK(VLOOKUP($AK121,$AK$43:$AW$56,AV$59,FALSE)),NA(),VLOOKUP($AK121,$AK$43:$AW$56,AV$59,FALSE))</f>
        <v>#N/A</v>
      </c>
      <c r="AW121" s="380" t="e">
        <f t="shared" si="27"/>
        <v>#N/A</v>
      </c>
    </row>
    <row r="122" spans="6:49" x14ac:dyDescent="0.25">
      <c r="F122" s="308"/>
      <c r="G122" s="303" t="s">
        <v>112</v>
      </c>
      <c r="H122" s="303" t="s">
        <v>111</v>
      </c>
      <c r="M122" s="307"/>
      <c r="AK122" s="308">
        <v>62</v>
      </c>
      <c r="AL122" s="303" t="str">
        <f t="shared" si="22"/>
        <v>3/8 in.</v>
      </c>
      <c r="AM122" s="381" t="e">
        <f t="shared" si="26"/>
        <v>#REF!</v>
      </c>
      <c r="AN122" s="381" t="e">
        <f t="shared" si="26"/>
        <v>#N/A</v>
      </c>
      <c r="AO122" s="381" t="e">
        <f t="shared" si="26"/>
        <v>#N/A</v>
      </c>
      <c r="AP122" s="380" t="e">
        <f t="shared" si="26"/>
        <v>#N/A</v>
      </c>
      <c r="AQ122" s="382">
        <f>AQ67</f>
        <v>1</v>
      </c>
      <c r="AR122" s="308"/>
      <c r="AU122" s="381" t="e">
        <f t="shared" si="23"/>
        <v>#VALUE!</v>
      </c>
      <c r="AV122" s="381" t="str">
        <f t="shared" si="27"/>
        <v/>
      </c>
      <c r="AW122" s="380" t="str">
        <f t="shared" si="27"/>
        <v/>
      </c>
    </row>
    <row r="123" spans="6:49" x14ac:dyDescent="0.25">
      <c r="F123" s="308"/>
      <c r="G123" s="385">
        <v>0.52</v>
      </c>
      <c r="H123" s="384">
        <v>0.38</v>
      </c>
      <c r="M123" s="307"/>
      <c r="AK123" s="308">
        <v>63</v>
      </c>
      <c r="AL123" s="303" t="str">
        <f t="shared" si="22"/>
        <v/>
      </c>
      <c r="AM123" s="381" t="e">
        <f t="shared" si="26"/>
        <v>#N/A</v>
      </c>
      <c r="AN123" s="381" t="e">
        <f t="shared" si="26"/>
        <v>#N/A</v>
      </c>
      <c r="AO123" s="381" t="e">
        <f t="shared" si="26"/>
        <v>#N/A</v>
      </c>
      <c r="AP123" s="380" t="e">
        <f t="shared" si="26"/>
        <v>#N/A</v>
      </c>
      <c r="AQ123" s="303" t="e">
        <f>NA()</f>
        <v>#N/A</v>
      </c>
      <c r="AR123" s="308"/>
      <c r="AU123" s="381" t="e">
        <f t="shared" si="23"/>
        <v>#N/A</v>
      </c>
      <c r="AV123" s="381" t="e">
        <f t="shared" si="27"/>
        <v>#N/A</v>
      </c>
      <c r="AW123" s="380" t="e">
        <f t="shared" si="27"/>
        <v>#N/A</v>
      </c>
    </row>
    <row r="124" spans="6:49" x14ac:dyDescent="0.25">
      <c r="F124" s="308"/>
      <c r="G124" s="385">
        <v>0.68</v>
      </c>
      <c r="H124" s="384">
        <v>0.36</v>
      </c>
      <c r="M124" s="307"/>
      <c r="AK124" s="308">
        <v>64</v>
      </c>
      <c r="AL124" s="303" t="str">
        <f t="shared" ref="AL124:AL155" si="28">IF(ISNA(VLOOKUP($AK124,$AK$43:$AP$56,AL$59,FALSE)),"",VLOOKUP($AK124,$AK$43:$AP$56,AL$59,FALSE))</f>
        <v/>
      </c>
      <c r="AM124" s="381" t="e">
        <f t="shared" si="26"/>
        <v>#N/A</v>
      </c>
      <c r="AN124" s="381" t="e">
        <f t="shared" si="26"/>
        <v>#N/A</v>
      </c>
      <c r="AO124" s="381" t="e">
        <f t="shared" si="26"/>
        <v>#N/A</v>
      </c>
      <c r="AP124" s="380" t="e">
        <f t="shared" si="26"/>
        <v>#N/A</v>
      </c>
      <c r="AQ124" s="303" t="e">
        <f>NA()</f>
        <v>#N/A</v>
      </c>
      <c r="AR124" s="308"/>
      <c r="AU124" s="381" t="e">
        <f t="shared" si="23"/>
        <v>#N/A</v>
      </c>
      <c r="AV124" s="381" t="e">
        <f t="shared" si="27"/>
        <v>#N/A</v>
      </c>
      <c r="AW124" s="380" t="e">
        <f t="shared" si="27"/>
        <v>#N/A</v>
      </c>
    </row>
    <row r="125" spans="6:49" x14ac:dyDescent="0.25">
      <c r="F125" s="308"/>
      <c r="G125" s="303" t="s">
        <v>110</v>
      </c>
      <c r="M125" s="307"/>
      <c r="AK125" s="308">
        <v>65</v>
      </c>
      <c r="AL125" s="303" t="str">
        <f t="shared" si="28"/>
        <v/>
      </c>
      <c r="AM125" s="381" t="e">
        <f t="shared" si="26"/>
        <v>#N/A</v>
      </c>
      <c r="AN125" s="381" t="e">
        <f t="shared" si="26"/>
        <v>#N/A</v>
      </c>
      <c r="AO125" s="381" t="e">
        <f t="shared" si="26"/>
        <v>#N/A</v>
      </c>
      <c r="AP125" s="380" t="e">
        <f t="shared" si="26"/>
        <v>#N/A</v>
      </c>
      <c r="AQ125" s="303" t="e">
        <f>NA()</f>
        <v>#N/A</v>
      </c>
      <c r="AR125" s="308"/>
      <c r="AU125" s="381" t="e">
        <f t="shared" ref="AU125:AU156" si="29">IF(ISBLANK(VLOOKUP($AK125,$AK$43:$AU$56,AU$59,FALSE)),NA(),VLOOKUP($AK125,$AK$43:$AU$56,AU$59,FALSE))</f>
        <v>#N/A</v>
      </c>
      <c r="AV125" s="381" t="e">
        <f t="shared" si="27"/>
        <v>#N/A</v>
      </c>
      <c r="AW125" s="380" t="e">
        <f t="shared" si="27"/>
        <v>#N/A</v>
      </c>
    </row>
    <row r="126" spans="6:49" x14ac:dyDescent="0.25">
      <c r="F126" s="308"/>
      <c r="G126" s="303" t="s">
        <v>109</v>
      </c>
      <c r="H126" s="303" t="s">
        <v>108</v>
      </c>
      <c r="I126" s="303" t="s">
        <v>107</v>
      </c>
      <c r="M126" s="307"/>
      <c r="AK126" s="308">
        <v>66</v>
      </c>
      <c r="AL126" s="303" t="str">
        <f t="shared" si="28"/>
        <v/>
      </c>
      <c r="AM126" s="381" t="e">
        <f t="shared" si="26"/>
        <v>#N/A</v>
      </c>
      <c r="AN126" s="381" t="e">
        <f t="shared" si="26"/>
        <v>#N/A</v>
      </c>
      <c r="AO126" s="381" t="e">
        <f t="shared" si="26"/>
        <v>#N/A</v>
      </c>
      <c r="AP126" s="380" t="e">
        <f t="shared" si="26"/>
        <v>#N/A</v>
      </c>
      <c r="AQ126" s="303" t="e">
        <f>NA()</f>
        <v>#N/A</v>
      </c>
      <c r="AR126" s="308"/>
      <c r="AU126" s="381" t="e">
        <f t="shared" si="29"/>
        <v>#N/A</v>
      </c>
      <c r="AV126" s="381" t="e">
        <f t="shared" si="27"/>
        <v>#N/A</v>
      </c>
      <c r="AW126" s="380" t="e">
        <f t="shared" si="27"/>
        <v>#N/A</v>
      </c>
    </row>
    <row r="127" spans="6:49" x14ac:dyDescent="0.25">
      <c r="F127" s="308"/>
      <c r="G127" s="383" t="e">
        <f>G118</f>
        <v>#REF!</v>
      </c>
      <c r="H127" s="319" t="e">
        <f>G127*SLOPE(H123:H124,G123:G124)+INTERCEPT(H123:H124,G123:G124)</f>
        <v>#REF!</v>
      </c>
      <c r="I127" s="383" t="e">
        <f>I118</f>
        <v>#REF!</v>
      </c>
      <c r="M127" s="307"/>
      <c r="AK127" s="308">
        <v>67</v>
      </c>
      <c r="AL127" s="303" t="str">
        <f t="shared" si="28"/>
        <v/>
      </c>
      <c r="AM127" s="381" t="e">
        <f t="shared" si="26"/>
        <v>#N/A</v>
      </c>
      <c r="AN127" s="381" t="e">
        <f t="shared" si="26"/>
        <v>#N/A</v>
      </c>
      <c r="AO127" s="381" t="e">
        <f t="shared" si="26"/>
        <v>#N/A</v>
      </c>
      <c r="AP127" s="380" t="e">
        <f t="shared" si="26"/>
        <v>#N/A</v>
      </c>
      <c r="AQ127" s="303" t="e">
        <f>NA()</f>
        <v>#N/A</v>
      </c>
      <c r="AR127" s="308"/>
      <c r="AU127" s="381" t="e">
        <f t="shared" si="29"/>
        <v>#N/A</v>
      </c>
      <c r="AV127" s="381" t="e">
        <f t="shared" si="27"/>
        <v>#N/A</v>
      </c>
      <c r="AW127" s="380" t="e">
        <f t="shared" si="27"/>
        <v>#N/A</v>
      </c>
    </row>
    <row r="128" spans="6:49" x14ac:dyDescent="0.25">
      <c r="F128" s="308"/>
      <c r="I128" s="318" t="s">
        <v>106</v>
      </c>
      <c r="J128" s="303" t="e">
        <f>IF(H127&gt;=I127,TRUE,FALSE)</f>
        <v>#REF!</v>
      </c>
      <c r="M128" s="307"/>
      <c r="AK128" s="308">
        <v>68</v>
      </c>
      <c r="AL128" s="303" t="str">
        <f t="shared" si="28"/>
        <v/>
      </c>
      <c r="AM128" s="381" t="e">
        <f t="shared" si="26"/>
        <v>#N/A</v>
      </c>
      <c r="AN128" s="381" t="e">
        <f t="shared" si="26"/>
        <v>#N/A</v>
      </c>
      <c r="AO128" s="381" t="e">
        <f t="shared" si="26"/>
        <v>#N/A</v>
      </c>
      <c r="AP128" s="380" t="e">
        <f t="shared" si="26"/>
        <v>#N/A</v>
      </c>
      <c r="AQ128" s="303" t="e">
        <f>NA()</f>
        <v>#N/A</v>
      </c>
      <c r="AR128" s="308"/>
      <c r="AU128" s="381" t="e">
        <f t="shared" si="29"/>
        <v>#N/A</v>
      </c>
      <c r="AV128" s="381" t="e">
        <f t="shared" si="27"/>
        <v>#N/A</v>
      </c>
      <c r="AW128" s="380" t="e">
        <f t="shared" si="27"/>
        <v>#N/A</v>
      </c>
    </row>
    <row r="129" spans="6:49" x14ac:dyDescent="0.25">
      <c r="F129" s="308" t="s">
        <v>105</v>
      </c>
      <c r="M129" s="307"/>
      <c r="AK129" s="308">
        <v>69</v>
      </c>
      <c r="AL129" s="303" t="str">
        <f t="shared" si="28"/>
        <v/>
      </c>
      <c r="AM129" s="381" t="e">
        <f t="shared" si="26"/>
        <v>#N/A</v>
      </c>
      <c r="AN129" s="381" t="e">
        <f t="shared" si="26"/>
        <v>#N/A</v>
      </c>
      <c r="AO129" s="381" t="e">
        <f t="shared" si="26"/>
        <v>#N/A</v>
      </c>
      <c r="AP129" s="380" t="e">
        <f t="shared" si="26"/>
        <v>#N/A</v>
      </c>
      <c r="AQ129" s="303" t="e">
        <f>NA()</f>
        <v>#N/A</v>
      </c>
      <c r="AR129" s="308"/>
      <c r="AU129" s="381" t="e">
        <f t="shared" si="29"/>
        <v>#N/A</v>
      </c>
      <c r="AV129" s="381" t="e">
        <f t="shared" si="27"/>
        <v>#N/A</v>
      </c>
      <c r="AW129" s="380" t="e">
        <f t="shared" si="27"/>
        <v>#N/A</v>
      </c>
    </row>
    <row r="130" spans="6:49" x14ac:dyDescent="0.25">
      <c r="F130" s="308"/>
      <c r="I130" s="324" t="s">
        <v>104</v>
      </c>
      <c r="M130" s="307"/>
      <c r="AK130" s="308">
        <v>70</v>
      </c>
      <c r="AL130" s="303" t="str">
        <f t="shared" si="28"/>
        <v>1/2 in.</v>
      </c>
      <c r="AM130" s="381" t="e">
        <f t="shared" si="26"/>
        <v>#REF!</v>
      </c>
      <c r="AN130" s="381" t="e">
        <f t="shared" si="26"/>
        <v>#N/A</v>
      </c>
      <c r="AO130" s="381" t="e">
        <f t="shared" si="26"/>
        <v>#N/A</v>
      </c>
      <c r="AP130" s="380" t="e">
        <f t="shared" si="26"/>
        <v>#N/A</v>
      </c>
      <c r="AQ130" s="382">
        <f>AQ67</f>
        <v>1</v>
      </c>
      <c r="AR130" s="308"/>
      <c r="AU130" s="381" t="e">
        <f t="shared" si="29"/>
        <v>#VALUE!</v>
      </c>
      <c r="AV130" s="381" t="str">
        <f t="shared" si="27"/>
        <v/>
      </c>
      <c r="AW130" s="380" t="str">
        <f t="shared" si="27"/>
        <v/>
      </c>
    </row>
    <row r="131" spans="6:49" x14ac:dyDescent="0.25">
      <c r="F131" s="308"/>
      <c r="G131" s="318" t="s">
        <v>103</v>
      </c>
      <c r="H131" s="382">
        <f>G114</f>
        <v>0.68</v>
      </c>
      <c r="I131" s="303" t="e">
        <f>IF(G127&lt;=H131,TRUE,FALSE)</f>
        <v>#REF!</v>
      </c>
      <c r="M131" s="307"/>
      <c r="AK131" s="308">
        <v>71</v>
      </c>
      <c r="AL131" s="303" t="str">
        <f t="shared" si="28"/>
        <v/>
      </c>
      <c r="AM131" s="381" t="e">
        <f t="shared" si="26"/>
        <v>#N/A</v>
      </c>
      <c r="AN131" s="381" t="e">
        <f t="shared" si="26"/>
        <v>#N/A</v>
      </c>
      <c r="AO131" s="381" t="e">
        <f t="shared" si="26"/>
        <v>#N/A</v>
      </c>
      <c r="AP131" s="380" t="e">
        <f t="shared" si="26"/>
        <v>#N/A</v>
      </c>
      <c r="AQ131" s="303" t="e">
        <f>NA()</f>
        <v>#N/A</v>
      </c>
      <c r="AR131" s="308"/>
      <c r="AU131" s="381" t="e">
        <f t="shared" si="29"/>
        <v>#N/A</v>
      </c>
      <c r="AV131" s="381" t="e">
        <f t="shared" si="27"/>
        <v>#N/A</v>
      </c>
      <c r="AW131" s="380" t="e">
        <f t="shared" si="27"/>
        <v>#N/A</v>
      </c>
    </row>
    <row r="132" spans="6:49" x14ac:dyDescent="0.25">
      <c r="F132" s="308"/>
      <c r="G132" s="318" t="s">
        <v>102</v>
      </c>
      <c r="H132" s="382">
        <f>G115</f>
        <v>0.52</v>
      </c>
      <c r="I132" s="303" t="e">
        <f>IF(G127&gt;=H132,TRUE,FALSE)</f>
        <v>#REF!</v>
      </c>
      <c r="M132" s="307"/>
      <c r="AK132" s="308">
        <v>72</v>
      </c>
      <c r="AL132" s="303" t="str">
        <f t="shared" si="28"/>
        <v/>
      </c>
      <c r="AM132" s="381" t="e">
        <f t="shared" si="26"/>
        <v>#N/A</v>
      </c>
      <c r="AN132" s="381" t="e">
        <f t="shared" si="26"/>
        <v>#N/A</v>
      </c>
      <c r="AO132" s="381" t="e">
        <f t="shared" si="26"/>
        <v>#N/A</v>
      </c>
      <c r="AP132" s="380" t="e">
        <f t="shared" si="26"/>
        <v>#N/A</v>
      </c>
      <c r="AQ132" s="303" t="e">
        <f>NA()</f>
        <v>#N/A</v>
      </c>
      <c r="AR132" s="308"/>
      <c r="AU132" s="381" t="e">
        <f t="shared" si="29"/>
        <v>#N/A</v>
      </c>
      <c r="AV132" s="381" t="e">
        <f t="shared" si="27"/>
        <v>#N/A</v>
      </c>
      <c r="AW132" s="380" t="e">
        <f t="shared" si="27"/>
        <v>#N/A</v>
      </c>
    </row>
    <row r="133" spans="6:49" x14ac:dyDescent="0.25">
      <c r="F133" s="306" t="e">
        <f>IF(AND(J119,J128,I131,I132),"Blend is within the Workability Box.","Blend is not in the Workability Box")</f>
        <v>#REF!</v>
      </c>
      <c r="G133" s="305"/>
      <c r="H133" s="305"/>
      <c r="I133" s="305"/>
      <c r="J133" s="305"/>
      <c r="K133" s="305"/>
      <c r="L133" s="305"/>
      <c r="M133" s="304"/>
      <c r="AK133" s="308">
        <v>73</v>
      </c>
      <c r="AL133" s="303" t="str">
        <f t="shared" si="28"/>
        <v/>
      </c>
      <c r="AM133" s="381" t="e">
        <f t="shared" si="26"/>
        <v>#N/A</v>
      </c>
      <c r="AN133" s="381" t="e">
        <f t="shared" si="26"/>
        <v>#N/A</v>
      </c>
      <c r="AO133" s="381" t="e">
        <f t="shared" si="26"/>
        <v>#N/A</v>
      </c>
      <c r="AP133" s="380" t="e">
        <f t="shared" si="26"/>
        <v>#N/A</v>
      </c>
      <c r="AQ133" s="303" t="e">
        <f>NA()</f>
        <v>#N/A</v>
      </c>
      <c r="AR133" s="308"/>
      <c r="AU133" s="381" t="e">
        <f t="shared" si="29"/>
        <v>#N/A</v>
      </c>
      <c r="AV133" s="381" t="e">
        <f t="shared" si="27"/>
        <v>#N/A</v>
      </c>
      <c r="AW133" s="380" t="e">
        <f t="shared" si="27"/>
        <v>#N/A</v>
      </c>
    </row>
    <row r="134" spans="6:49" x14ac:dyDescent="0.25">
      <c r="AK134" s="308">
        <v>74</v>
      </c>
      <c r="AL134" s="303" t="str">
        <f t="shared" si="28"/>
        <v/>
      </c>
      <c r="AM134" s="381" t="e">
        <f t="shared" si="26"/>
        <v>#N/A</v>
      </c>
      <c r="AN134" s="381" t="e">
        <f t="shared" si="26"/>
        <v>#N/A</v>
      </c>
      <c r="AO134" s="381" t="e">
        <f t="shared" si="26"/>
        <v>#N/A</v>
      </c>
      <c r="AP134" s="380" t="e">
        <f t="shared" si="26"/>
        <v>#N/A</v>
      </c>
      <c r="AQ134" s="303" t="e">
        <f>NA()</f>
        <v>#N/A</v>
      </c>
      <c r="AR134" s="308"/>
      <c r="AU134" s="381" t="e">
        <f t="shared" si="29"/>
        <v>#N/A</v>
      </c>
      <c r="AV134" s="381" t="e">
        <f t="shared" si="27"/>
        <v>#N/A</v>
      </c>
      <c r="AW134" s="380" t="e">
        <f t="shared" si="27"/>
        <v>#N/A</v>
      </c>
    </row>
    <row r="135" spans="6:49" x14ac:dyDescent="0.25">
      <c r="AK135" s="308">
        <v>75</v>
      </c>
      <c r="AL135" s="303" t="str">
        <f t="shared" si="28"/>
        <v/>
      </c>
      <c r="AM135" s="381" t="e">
        <f t="shared" si="26"/>
        <v>#N/A</v>
      </c>
      <c r="AN135" s="381" t="e">
        <f t="shared" si="26"/>
        <v>#N/A</v>
      </c>
      <c r="AO135" s="381" t="e">
        <f t="shared" si="26"/>
        <v>#N/A</v>
      </c>
      <c r="AP135" s="380" t="e">
        <f t="shared" si="26"/>
        <v>#N/A</v>
      </c>
      <c r="AQ135" s="303" t="e">
        <f>NA()</f>
        <v>#N/A</v>
      </c>
      <c r="AR135" s="308"/>
      <c r="AU135" s="381" t="e">
        <f t="shared" si="29"/>
        <v>#N/A</v>
      </c>
      <c r="AV135" s="381" t="e">
        <f t="shared" si="27"/>
        <v>#N/A</v>
      </c>
      <c r="AW135" s="380" t="e">
        <f t="shared" si="27"/>
        <v>#N/A</v>
      </c>
    </row>
    <row r="136" spans="6:49" x14ac:dyDescent="0.25">
      <c r="AK136" s="308">
        <v>76</v>
      </c>
      <c r="AL136" s="303" t="str">
        <f t="shared" si="28"/>
        <v/>
      </c>
      <c r="AM136" s="381" t="e">
        <f t="shared" si="26"/>
        <v>#N/A</v>
      </c>
      <c r="AN136" s="381" t="e">
        <f t="shared" si="26"/>
        <v>#N/A</v>
      </c>
      <c r="AO136" s="381" t="e">
        <f t="shared" si="26"/>
        <v>#N/A</v>
      </c>
      <c r="AP136" s="380" t="e">
        <f t="shared" si="26"/>
        <v>#N/A</v>
      </c>
      <c r="AQ136" s="303" t="e">
        <f>NA()</f>
        <v>#N/A</v>
      </c>
      <c r="AR136" s="308"/>
      <c r="AU136" s="381" t="e">
        <f t="shared" si="29"/>
        <v>#N/A</v>
      </c>
      <c r="AV136" s="381" t="e">
        <f t="shared" si="27"/>
        <v>#N/A</v>
      </c>
      <c r="AW136" s="380" t="e">
        <f t="shared" si="27"/>
        <v>#N/A</v>
      </c>
    </row>
    <row r="137" spans="6:49" x14ac:dyDescent="0.25">
      <c r="AK137" s="308">
        <v>77</v>
      </c>
      <c r="AL137" s="303" t="str">
        <f t="shared" si="28"/>
        <v/>
      </c>
      <c r="AM137" s="381" t="e">
        <f t="shared" si="26"/>
        <v>#N/A</v>
      </c>
      <c r="AN137" s="381" t="e">
        <f t="shared" si="26"/>
        <v>#N/A</v>
      </c>
      <c r="AO137" s="381" t="e">
        <f t="shared" si="26"/>
        <v>#N/A</v>
      </c>
      <c r="AP137" s="380" t="e">
        <f t="shared" si="26"/>
        <v>#N/A</v>
      </c>
      <c r="AQ137" s="303" t="e">
        <f>NA()</f>
        <v>#N/A</v>
      </c>
      <c r="AR137" s="308"/>
      <c r="AU137" s="381" t="e">
        <f t="shared" si="29"/>
        <v>#N/A</v>
      </c>
      <c r="AV137" s="381" t="e">
        <f t="shared" si="27"/>
        <v>#N/A</v>
      </c>
      <c r="AW137" s="380" t="e">
        <f t="shared" si="27"/>
        <v>#N/A</v>
      </c>
    </row>
    <row r="138" spans="6:49" x14ac:dyDescent="0.25">
      <c r="AK138" s="308">
        <v>78</v>
      </c>
      <c r="AL138" s="303" t="str">
        <f t="shared" si="28"/>
        <v/>
      </c>
      <c r="AM138" s="381" t="e">
        <f t="shared" si="26"/>
        <v>#N/A</v>
      </c>
      <c r="AN138" s="381" t="e">
        <f t="shared" si="26"/>
        <v>#N/A</v>
      </c>
      <c r="AO138" s="381" t="e">
        <f t="shared" si="26"/>
        <v>#N/A</v>
      </c>
      <c r="AP138" s="380" t="e">
        <f t="shared" si="26"/>
        <v>#N/A</v>
      </c>
      <c r="AQ138" s="303" t="e">
        <f>NA()</f>
        <v>#N/A</v>
      </c>
      <c r="AR138" s="308"/>
      <c r="AU138" s="381" t="e">
        <f t="shared" si="29"/>
        <v>#N/A</v>
      </c>
      <c r="AV138" s="381" t="e">
        <f t="shared" si="27"/>
        <v>#N/A</v>
      </c>
      <c r="AW138" s="380" t="e">
        <f t="shared" si="27"/>
        <v>#N/A</v>
      </c>
    </row>
    <row r="139" spans="6:49" x14ac:dyDescent="0.25">
      <c r="AK139" s="308">
        <v>79</v>
      </c>
      <c r="AL139" s="303" t="str">
        <f t="shared" si="28"/>
        <v/>
      </c>
      <c r="AM139" s="381" t="e">
        <f t="shared" si="26"/>
        <v>#N/A</v>
      </c>
      <c r="AN139" s="381" t="e">
        <f t="shared" si="26"/>
        <v>#N/A</v>
      </c>
      <c r="AO139" s="381" t="e">
        <f t="shared" si="26"/>
        <v>#N/A</v>
      </c>
      <c r="AP139" s="380" t="e">
        <f t="shared" si="26"/>
        <v>#N/A</v>
      </c>
      <c r="AQ139" s="303" t="e">
        <f>NA()</f>
        <v>#N/A</v>
      </c>
      <c r="AR139" s="308"/>
      <c r="AU139" s="381" t="e">
        <f t="shared" si="29"/>
        <v>#N/A</v>
      </c>
      <c r="AV139" s="381" t="e">
        <f t="shared" si="27"/>
        <v>#N/A</v>
      </c>
      <c r="AW139" s="380" t="e">
        <f t="shared" si="27"/>
        <v>#N/A</v>
      </c>
    </row>
    <row r="140" spans="6:49" x14ac:dyDescent="0.25">
      <c r="AK140" s="308">
        <v>80</v>
      </c>
      <c r="AL140" s="303" t="str">
        <f t="shared" si="28"/>
        <v/>
      </c>
      <c r="AM140" s="381" t="e">
        <f t="shared" ref="AM140:AP159" si="30">IF(ISBLANK(VLOOKUP($AK140,$AK$43:$AP$56,AM$59,FALSE)),NA(),VLOOKUP($AK140,$AK$43:$AP$56,AM$59,FALSE))</f>
        <v>#N/A</v>
      </c>
      <c r="AN140" s="381" t="e">
        <f t="shared" si="30"/>
        <v>#N/A</v>
      </c>
      <c r="AO140" s="381" t="e">
        <f t="shared" si="30"/>
        <v>#N/A</v>
      </c>
      <c r="AP140" s="380" t="e">
        <f t="shared" si="30"/>
        <v>#N/A</v>
      </c>
      <c r="AQ140" s="303" t="e">
        <f>NA()</f>
        <v>#N/A</v>
      </c>
      <c r="AR140" s="308"/>
      <c r="AU140" s="381" t="e">
        <f t="shared" si="29"/>
        <v>#N/A</v>
      </c>
      <c r="AV140" s="381" t="e">
        <f t="shared" si="27"/>
        <v>#N/A</v>
      </c>
      <c r="AW140" s="380" t="e">
        <f t="shared" si="27"/>
        <v>#N/A</v>
      </c>
    </row>
    <row r="141" spans="6:49" x14ac:dyDescent="0.25">
      <c r="AK141" s="308">
        <v>81</v>
      </c>
      <c r="AL141" s="303" t="str">
        <f t="shared" si="28"/>
        <v/>
      </c>
      <c r="AM141" s="381" t="e">
        <f t="shared" si="30"/>
        <v>#N/A</v>
      </c>
      <c r="AN141" s="381" t="e">
        <f t="shared" si="30"/>
        <v>#N/A</v>
      </c>
      <c r="AO141" s="381" t="e">
        <f t="shared" si="30"/>
        <v>#N/A</v>
      </c>
      <c r="AP141" s="380" t="e">
        <f t="shared" si="30"/>
        <v>#N/A</v>
      </c>
      <c r="AQ141" s="303" t="e">
        <f>NA()</f>
        <v>#N/A</v>
      </c>
      <c r="AR141" s="308"/>
      <c r="AU141" s="381" t="e">
        <f t="shared" si="29"/>
        <v>#N/A</v>
      </c>
      <c r="AV141" s="381" t="e">
        <f t="shared" ref="AV141:AW160" si="31">IF(ISBLANK(VLOOKUP($AK141,$AK$43:$AW$56,AV$59,FALSE)),NA(),VLOOKUP($AK141,$AK$43:$AW$56,AV$59,FALSE))</f>
        <v>#N/A</v>
      </c>
      <c r="AW141" s="380" t="e">
        <f t="shared" si="31"/>
        <v>#N/A</v>
      </c>
    </row>
    <row r="142" spans="6:49" x14ac:dyDescent="0.25">
      <c r="AK142" s="308">
        <v>82</v>
      </c>
      <c r="AL142" s="303" t="str">
        <f t="shared" si="28"/>
        <v/>
      </c>
      <c r="AM142" s="381" t="e">
        <f t="shared" si="30"/>
        <v>#N/A</v>
      </c>
      <c r="AN142" s="381" t="e">
        <f t="shared" si="30"/>
        <v>#N/A</v>
      </c>
      <c r="AO142" s="381" t="e">
        <f t="shared" si="30"/>
        <v>#N/A</v>
      </c>
      <c r="AP142" s="380" t="e">
        <f t="shared" si="30"/>
        <v>#N/A</v>
      </c>
      <c r="AQ142" s="303" t="e">
        <f>NA()</f>
        <v>#N/A</v>
      </c>
      <c r="AR142" s="308"/>
      <c r="AU142" s="381" t="e">
        <f t="shared" si="29"/>
        <v>#N/A</v>
      </c>
      <c r="AV142" s="381" t="e">
        <f t="shared" si="31"/>
        <v>#N/A</v>
      </c>
      <c r="AW142" s="380" t="e">
        <f t="shared" si="31"/>
        <v>#N/A</v>
      </c>
    </row>
    <row r="143" spans="6:49" x14ac:dyDescent="0.25">
      <c r="AK143" s="308">
        <v>83</v>
      </c>
      <c r="AL143" s="303" t="str">
        <f t="shared" si="28"/>
        <v/>
      </c>
      <c r="AM143" s="381" t="e">
        <f t="shared" si="30"/>
        <v>#N/A</v>
      </c>
      <c r="AN143" s="381" t="e">
        <f t="shared" si="30"/>
        <v>#N/A</v>
      </c>
      <c r="AO143" s="381" t="e">
        <f t="shared" si="30"/>
        <v>#N/A</v>
      </c>
      <c r="AP143" s="380" t="e">
        <f t="shared" si="30"/>
        <v>#N/A</v>
      </c>
      <c r="AQ143" s="303" t="e">
        <f>NA()</f>
        <v>#N/A</v>
      </c>
      <c r="AR143" s="308"/>
      <c r="AU143" s="381" t="e">
        <f t="shared" si="29"/>
        <v>#N/A</v>
      </c>
      <c r="AV143" s="381" t="e">
        <f t="shared" si="31"/>
        <v>#N/A</v>
      </c>
      <c r="AW143" s="380" t="e">
        <f t="shared" si="31"/>
        <v>#N/A</v>
      </c>
    </row>
    <row r="144" spans="6:49" x14ac:dyDescent="0.25">
      <c r="AK144" s="308">
        <v>84</v>
      </c>
      <c r="AL144" s="303" t="str">
        <f t="shared" si="28"/>
        <v>3/4 in.</v>
      </c>
      <c r="AM144" s="381" t="e">
        <f t="shared" si="30"/>
        <v>#REF!</v>
      </c>
      <c r="AN144" s="381" t="e">
        <f t="shared" si="30"/>
        <v>#N/A</v>
      </c>
      <c r="AO144" s="381" t="e">
        <f t="shared" si="30"/>
        <v>#N/A</v>
      </c>
      <c r="AP144" s="380" t="e">
        <f t="shared" si="30"/>
        <v>#N/A</v>
      </c>
      <c r="AQ144" s="382">
        <f>AQ67</f>
        <v>1</v>
      </c>
      <c r="AR144" s="308"/>
      <c r="AU144" s="381" t="e">
        <f t="shared" si="29"/>
        <v>#REF!</v>
      </c>
      <c r="AV144" s="381" t="e">
        <f t="shared" si="31"/>
        <v>#REF!</v>
      </c>
      <c r="AW144" s="380" t="str">
        <f t="shared" si="31"/>
        <v/>
      </c>
    </row>
    <row r="145" spans="37:49" x14ac:dyDescent="0.25">
      <c r="AK145" s="308">
        <v>85</v>
      </c>
      <c r="AL145" s="303" t="str">
        <f t="shared" si="28"/>
        <v/>
      </c>
      <c r="AM145" s="381" t="e">
        <f t="shared" si="30"/>
        <v>#N/A</v>
      </c>
      <c r="AN145" s="381" t="e">
        <f t="shared" si="30"/>
        <v>#N/A</v>
      </c>
      <c r="AO145" s="381" t="e">
        <f t="shared" si="30"/>
        <v>#N/A</v>
      </c>
      <c r="AP145" s="380" t="e">
        <f t="shared" si="30"/>
        <v>#N/A</v>
      </c>
      <c r="AQ145" s="303" t="e">
        <f>NA()</f>
        <v>#N/A</v>
      </c>
      <c r="AR145" s="308"/>
      <c r="AU145" s="381" t="e">
        <f t="shared" si="29"/>
        <v>#N/A</v>
      </c>
      <c r="AV145" s="381" t="e">
        <f t="shared" si="31"/>
        <v>#N/A</v>
      </c>
      <c r="AW145" s="380" t="e">
        <f t="shared" si="31"/>
        <v>#N/A</v>
      </c>
    </row>
    <row r="146" spans="37:49" x14ac:dyDescent="0.25">
      <c r="AK146" s="308">
        <v>86</v>
      </c>
      <c r="AL146" s="303" t="str">
        <f t="shared" si="28"/>
        <v/>
      </c>
      <c r="AM146" s="381" t="e">
        <f t="shared" si="30"/>
        <v>#N/A</v>
      </c>
      <c r="AN146" s="381" t="e">
        <f t="shared" si="30"/>
        <v>#N/A</v>
      </c>
      <c r="AO146" s="381" t="e">
        <f t="shared" si="30"/>
        <v>#N/A</v>
      </c>
      <c r="AP146" s="380" t="e">
        <f t="shared" si="30"/>
        <v>#N/A</v>
      </c>
      <c r="AQ146" s="303" t="e">
        <f>NA()</f>
        <v>#N/A</v>
      </c>
      <c r="AR146" s="308"/>
      <c r="AU146" s="381" t="e">
        <f t="shared" si="29"/>
        <v>#N/A</v>
      </c>
      <c r="AV146" s="381" t="e">
        <f t="shared" si="31"/>
        <v>#N/A</v>
      </c>
      <c r="AW146" s="380" t="e">
        <f t="shared" si="31"/>
        <v>#N/A</v>
      </c>
    </row>
    <row r="147" spans="37:49" x14ac:dyDescent="0.25">
      <c r="AK147" s="308">
        <v>87</v>
      </c>
      <c r="AL147" s="303" t="str">
        <f t="shared" si="28"/>
        <v/>
      </c>
      <c r="AM147" s="381" t="e">
        <f t="shared" si="30"/>
        <v>#N/A</v>
      </c>
      <c r="AN147" s="381" t="e">
        <f t="shared" si="30"/>
        <v>#N/A</v>
      </c>
      <c r="AO147" s="381" t="e">
        <f t="shared" si="30"/>
        <v>#N/A</v>
      </c>
      <c r="AP147" s="380" t="e">
        <f t="shared" si="30"/>
        <v>#N/A</v>
      </c>
      <c r="AQ147" s="303" t="e">
        <f>NA()</f>
        <v>#N/A</v>
      </c>
      <c r="AR147" s="308"/>
      <c r="AU147" s="381" t="e">
        <f t="shared" si="29"/>
        <v>#N/A</v>
      </c>
      <c r="AV147" s="381" t="e">
        <f t="shared" si="31"/>
        <v>#N/A</v>
      </c>
      <c r="AW147" s="380" t="e">
        <f t="shared" si="31"/>
        <v>#N/A</v>
      </c>
    </row>
    <row r="148" spans="37:49" x14ac:dyDescent="0.25">
      <c r="AK148" s="308">
        <v>88</v>
      </c>
      <c r="AL148" s="303" t="str">
        <f t="shared" si="28"/>
        <v/>
      </c>
      <c r="AM148" s="381" t="e">
        <f t="shared" si="30"/>
        <v>#N/A</v>
      </c>
      <c r="AN148" s="381" t="e">
        <f t="shared" si="30"/>
        <v>#N/A</v>
      </c>
      <c r="AO148" s="381" t="e">
        <f t="shared" si="30"/>
        <v>#N/A</v>
      </c>
      <c r="AP148" s="380" t="e">
        <f t="shared" si="30"/>
        <v>#N/A</v>
      </c>
      <c r="AQ148" s="303" t="e">
        <f>NA()</f>
        <v>#N/A</v>
      </c>
      <c r="AR148" s="308"/>
      <c r="AU148" s="381" t="e">
        <f t="shared" si="29"/>
        <v>#N/A</v>
      </c>
      <c r="AV148" s="381" t="e">
        <f t="shared" si="31"/>
        <v>#N/A</v>
      </c>
      <c r="AW148" s="380" t="e">
        <f t="shared" si="31"/>
        <v>#N/A</v>
      </c>
    </row>
    <row r="149" spans="37:49" x14ac:dyDescent="0.25">
      <c r="AK149" s="308">
        <v>89</v>
      </c>
      <c r="AL149" s="303" t="str">
        <f t="shared" si="28"/>
        <v/>
      </c>
      <c r="AM149" s="381" t="e">
        <f t="shared" si="30"/>
        <v>#N/A</v>
      </c>
      <c r="AN149" s="381" t="e">
        <f t="shared" si="30"/>
        <v>#N/A</v>
      </c>
      <c r="AO149" s="381" t="e">
        <f t="shared" si="30"/>
        <v>#N/A</v>
      </c>
      <c r="AP149" s="380" t="e">
        <f t="shared" si="30"/>
        <v>#N/A</v>
      </c>
      <c r="AQ149" s="303" t="e">
        <f>NA()</f>
        <v>#N/A</v>
      </c>
      <c r="AR149" s="308"/>
      <c r="AU149" s="381" t="e">
        <f t="shared" si="29"/>
        <v>#N/A</v>
      </c>
      <c r="AV149" s="381" t="e">
        <f t="shared" si="31"/>
        <v>#N/A</v>
      </c>
      <c r="AW149" s="380" t="e">
        <f t="shared" si="31"/>
        <v>#N/A</v>
      </c>
    </row>
    <row r="150" spans="37:49" x14ac:dyDescent="0.25">
      <c r="AK150" s="308">
        <v>90</v>
      </c>
      <c r="AL150" s="303" t="str">
        <f t="shared" si="28"/>
        <v/>
      </c>
      <c r="AM150" s="381" t="e">
        <f t="shared" si="30"/>
        <v>#N/A</v>
      </c>
      <c r="AN150" s="381" t="e">
        <f t="shared" si="30"/>
        <v>#N/A</v>
      </c>
      <c r="AO150" s="381" t="e">
        <f t="shared" si="30"/>
        <v>#N/A</v>
      </c>
      <c r="AP150" s="380" t="e">
        <f t="shared" si="30"/>
        <v>#N/A</v>
      </c>
      <c r="AQ150" s="303" t="e">
        <f>NA()</f>
        <v>#N/A</v>
      </c>
      <c r="AR150" s="308"/>
      <c r="AU150" s="381" t="e">
        <f t="shared" si="29"/>
        <v>#N/A</v>
      </c>
      <c r="AV150" s="381" t="e">
        <f t="shared" si="31"/>
        <v>#N/A</v>
      </c>
      <c r="AW150" s="380" t="e">
        <f t="shared" si="31"/>
        <v>#N/A</v>
      </c>
    </row>
    <row r="151" spans="37:49" x14ac:dyDescent="0.25">
      <c r="AK151" s="308">
        <v>91</v>
      </c>
      <c r="AL151" s="303" t="str">
        <f t="shared" si="28"/>
        <v/>
      </c>
      <c r="AM151" s="381" t="e">
        <f t="shared" si="30"/>
        <v>#N/A</v>
      </c>
      <c r="AN151" s="381" t="e">
        <f t="shared" si="30"/>
        <v>#N/A</v>
      </c>
      <c r="AO151" s="381" t="e">
        <f t="shared" si="30"/>
        <v>#N/A</v>
      </c>
      <c r="AP151" s="380" t="e">
        <f t="shared" si="30"/>
        <v>#N/A</v>
      </c>
      <c r="AQ151" s="303" t="e">
        <f>NA()</f>
        <v>#N/A</v>
      </c>
      <c r="AR151" s="308"/>
      <c r="AU151" s="381" t="e">
        <f t="shared" si="29"/>
        <v>#N/A</v>
      </c>
      <c r="AV151" s="381" t="e">
        <f t="shared" si="31"/>
        <v>#N/A</v>
      </c>
      <c r="AW151" s="380" t="e">
        <f t="shared" si="31"/>
        <v>#N/A</v>
      </c>
    </row>
    <row r="152" spans="37:49" x14ac:dyDescent="0.25">
      <c r="AK152" s="308">
        <v>92</v>
      </c>
      <c r="AL152" s="303" t="str">
        <f t="shared" si="28"/>
        <v/>
      </c>
      <c r="AM152" s="381" t="e">
        <f t="shared" si="30"/>
        <v>#N/A</v>
      </c>
      <c r="AN152" s="381" t="e">
        <f t="shared" si="30"/>
        <v>#N/A</v>
      </c>
      <c r="AO152" s="381" t="e">
        <f t="shared" si="30"/>
        <v>#N/A</v>
      </c>
      <c r="AP152" s="380" t="e">
        <f t="shared" si="30"/>
        <v>#N/A</v>
      </c>
      <c r="AQ152" s="303" t="e">
        <f>NA()</f>
        <v>#N/A</v>
      </c>
      <c r="AR152" s="308"/>
      <c r="AU152" s="381" t="e">
        <f t="shared" si="29"/>
        <v>#N/A</v>
      </c>
      <c r="AV152" s="381" t="e">
        <f t="shared" si="31"/>
        <v>#N/A</v>
      </c>
      <c r="AW152" s="380" t="e">
        <f t="shared" si="31"/>
        <v>#N/A</v>
      </c>
    </row>
    <row r="153" spans="37:49" x14ac:dyDescent="0.25">
      <c r="AK153" s="308">
        <v>93</v>
      </c>
      <c r="AL153" s="303" t="str">
        <f t="shared" si="28"/>
        <v/>
      </c>
      <c r="AM153" s="381" t="e">
        <f t="shared" si="30"/>
        <v>#N/A</v>
      </c>
      <c r="AN153" s="381" t="e">
        <f t="shared" si="30"/>
        <v>#N/A</v>
      </c>
      <c r="AO153" s="381" t="e">
        <f t="shared" si="30"/>
        <v>#N/A</v>
      </c>
      <c r="AP153" s="380" t="e">
        <f t="shared" si="30"/>
        <v>#N/A</v>
      </c>
      <c r="AQ153" s="303" t="e">
        <f>NA()</f>
        <v>#N/A</v>
      </c>
      <c r="AR153" s="308"/>
      <c r="AU153" s="381" t="e">
        <f t="shared" si="29"/>
        <v>#N/A</v>
      </c>
      <c r="AV153" s="381" t="e">
        <f t="shared" si="31"/>
        <v>#N/A</v>
      </c>
      <c r="AW153" s="380" t="e">
        <f t="shared" si="31"/>
        <v>#N/A</v>
      </c>
    </row>
    <row r="154" spans="37:49" x14ac:dyDescent="0.25">
      <c r="AK154" s="308">
        <v>94</v>
      </c>
      <c r="AL154" s="303" t="str">
        <f t="shared" si="28"/>
        <v/>
      </c>
      <c r="AM154" s="381" t="e">
        <f t="shared" si="30"/>
        <v>#N/A</v>
      </c>
      <c r="AN154" s="381" t="e">
        <f t="shared" si="30"/>
        <v>#N/A</v>
      </c>
      <c r="AO154" s="381" t="e">
        <f t="shared" si="30"/>
        <v>#N/A</v>
      </c>
      <c r="AP154" s="380" t="e">
        <f t="shared" si="30"/>
        <v>#N/A</v>
      </c>
      <c r="AQ154" s="303" t="e">
        <f>NA()</f>
        <v>#N/A</v>
      </c>
      <c r="AR154" s="308"/>
      <c r="AU154" s="381" t="e">
        <f t="shared" si="29"/>
        <v>#N/A</v>
      </c>
      <c r="AV154" s="381" t="e">
        <f t="shared" si="31"/>
        <v>#N/A</v>
      </c>
      <c r="AW154" s="380" t="e">
        <f t="shared" si="31"/>
        <v>#N/A</v>
      </c>
    </row>
    <row r="155" spans="37:49" x14ac:dyDescent="0.25">
      <c r="AK155" s="308">
        <v>95</v>
      </c>
      <c r="AL155" s="303" t="str">
        <f t="shared" si="28"/>
        <v/>
      </c>
      <c r="AM155" s="381" t="e">
        <f t="shared" si="30"/>
        <v>#N/A</v>
      </c>
      <c r="AN155" s="381" t="e">
        <f t="shared" si="30"/>
        <v>#N/A</v>
      </c>
      <c r="AO155" s="381" t="e">
        <f t="shared" si="30"/>
        <v>#N/A</v>
      </c>
      <c r="AP155" s="380" t="e">
        <f t="shared" si="30"/>
        <v>#N/A</v>
      </c>
      <c r="AQ155" s="303" t="e">
        <f>NA()</f>
        <v>#N/A</v>
      </c>
      <c r="AR155" s="308"/>
      <c r="AU155" s="381" t="e">
        <f t="shared" si="29"/>
        <v>#N/A</v>
      </c>
      <c r="AV155" s="381" t="e">
        <f t="shared" si="31"/>
        <v>#N/A</v>
      </c>
      <c r="AW155" s="380" t="e">
        <f t="shared" si="31"/>
        <v>#N/A</v>
      </c>
    </row>
    <row r="156" spans="37:49" x14ac:dyDescent="0.25">
      <c r="AK156" s="308">
        <v>96</v>
      </c>
      <c r="AL156" s="303" t="str">
        <f t="shared" ref="AL156:AL187" si="32">IF(ISNA(VLOOKUP($AK156,$AK$43:$AP$56,AL$59,FALSE)),"",VLOOKUP($AK156,$AK$43:$AP$56,AL$59,FALSE))</f>
        <v>1 in.</v>
      </c>
      <c r="AM156" s="381" t="e">
        <f t="shared" si="30"/>
        <v>#REF!</v>
      </c>
      <c r="AN156" s="381" t="e">
        <f t="shared" si="30"/>
        <v>#N/A</v>
      </c>
      <c r="AO156" s="381" t="e">
        <f t="shared" si="30"/>
        <v>#N/A</v>
      </c>
      <c r="AP156" s="380" t="e">
        <f t="shared" si="30"/>
        <v>#N/A</v>
      </c>
      <c r="AQ156" s="382">
        <f>AQ67</f>
        <v>1</v>
      </c>
      <c r="AR156" s="308"/>
      <c r="AU156" s="381" t="e">
        <f t="shared" si="29"/>
        <v>#REF!</v>
      </c>
      <c r="AV156" s="381" t="e">
        <f t="shared" si="31"/>
        <v>#REF!</v>
      </c>
      <c r="AW156" s="380" t="str">
        <f t="shared" si="31"/>
        <v/>
      </c>
    </row>
    <row r="157" spans="37:49" x14ac:dyDescent="0.25">
      <c r="AK157" s="308">
        <v>97</v>
      </c>
      <c r="AL157" s="303" t="str">
        <f t="shared" si="32"/>
        <v/>
      </c>
      <c r="AM157" s="381" t="e">
        <f t="shared" si="30"/>
        <v>#N/A</v>
      </c>
      <c r="AN157" s="381" t="e">
        <f t="shared" si="30"/>
        <v>#N/A</v>
      </c>
      <c r="AO157" s="381" t="e">
        <f t="shared" si="30"/>
        <v>#N/A</v>
      </c>
      <c r="AP157" s="380" t="e">
        <f t="shared" si="30"/>
        <v>#N/A</v>
      </c>
      <c r="AQ157" s="303" t="e">
        <f>NA()</f>
        <v>#N/A</v>
      </c>
      <c r="AR157" s="308"/>
      <c r="AU157" s="381" t="e">
        <f t="shared" ref="AU157:AU188" si="33">IF(ISBLANK(VLOOKUP($AK157,$AK$43:$AU$56,AU$59,FALSE)),NA(),VLOOKUP($AK157,$AK$43:$AU$56,AU$59,FALSE))</f>
        <v>#N/A</v>
      </c>
      <c r="AV157" s="381" t="e">
        <f t="shared" si="31"/>
        <v>#N/A</v>
      </c>
      <c r="AW157" s="380" t="e">
        <f t="shared" si="31"/>
        <v>#N/A</v>
      </c>
    </row>
    <row r="158" spans="37:49" x14ac:dyDescent="0.25">
      <c r="AK158" s="308">
        <v>98</v>
      </c>
      <c r="AL158" s="303" t="str">
        <f t="shared" si="32"/>
        <v/>
      </c>
      <c r="AM158" s="381" t="e">
        <f t="shared" si="30"/>
        <v>#N/A</v>
      </c>
      <c r="AN158" s="381" t="e">
        <f t="shared" si="30"/>
        <v>#N/A</v>
      </c>
      <c r="AO158" s="381" t="e">
        <f t="shared" si="30"/>
        <v>#N/A</v>
      </c>
      <c r="AP158" s="380" t="e">
        <f t="shared" si="30"/>
        <v>#N/A</v>
      </c>
      <c r="AQ158" s="303" t="e">
        <f>NA()</f>
        <v>#N/A</v>
      </c>
      <c r="AR158" s="308"/>
      <c r="AU158" s="381" t="e">
        <f t="shared" si="33"/>
        <v>#N/A</v>
      </c>
      <c r="AV158" s="381" t="e">
        <f t="shared" si="31"/>
        <v>#N/A</v>
      </c>
      <c r="AW158" s="380" t="e">
        <f t="shared" si="31"/>
        <v>#N/A</v>
      </c>
    </row>
    <row r="159" spans="37:49" x14ac:dyDescent="0.25">
      <c r="AK159" s="308">
        <v>99</v>
      </c>
      <c r="AL159" s="303" t="str">
        <f t="shared" si="32"/>
        <v/>
      </c>
      <c r="AM159" s="381" t="e">
        <f t="shared" si="30"/>
        <v>#N/A</v>
      </c>
      <c r="AN159" s="381" t="e">
        <f t="shared" si="30"/>
        <v>#N/A</v>
      </c>
      <c r="AO159" s="381" t="e">
        <f t="shared" si="30"/>
        <v>#N/A</v>
      </c>
      <c r="AP159" s="380" t="e">
        <f t="shared" si="30"/>
        <v>#N/A</v>
      </c>
      <c r="AQ159" s="303" t="e">
        <f>NA()</f>
        <v>#N/A</v>
      </c>
      <c r="AR159" s="308"/>
      <c r="AU159" s="381" t="e">
        <f t="shared" si="33"/>
        <v>#N/A</v>
      </c>
      <c r="AV159" s="381" t="e">
        <f t="shared" si="31"/>
        <v>#N/A</v>
      </c>
      <c r="AW159" s="380" t="e">
        <f t="shared" si="31"/>
        <v>#N/A</v>
      </c>
    </row>
    <row r="160" spans="37:49" x14ac:dyDescent="0.25">
      <c r="AK160" s="308">
        <v>100</v>
      </c>
      <c r="AL160" s="303" t="str">
        <f t="shared" si="32"/>
        <v/>
      </c>
      <c r="AM160" s="381" t="e">
        <f t="shared" ref="AM160:AP179" si="34">IF(ISBLANK(VLOOKUP($AK160,$AK$43:$AP$56,AM$59,FALSE)),NA(),VLOOKUP($AK160,$AK$43:$AP$56,AM$59,FALSE))</f>
        <v>#N/A</v>
      </c>
      <c r="AN160" s="381" t="e">
        <f t="shared" si="34"/>
        <v>#N/A</v>
      </c>
      <c r="AO160" s="381" t="e">
        <f t="shared" si="34"/>
        <v>#N/A</v>
      </c>
      <c r="AP160" s="380" t="e">
        <f t="shared" si="34"/>
        <v>#N/A</v>
      </c>
      <c r="AQ160" s="303" t="e">
        <f>NA()</f>
        <v>#N/A</v>
      </c>
      <c r="AR160" s="308"/>
      <c r="AU160" s="381" t="e">
        <f t="shared" si="33"/>
        <v>#N/A</v>
      </c>
      <c r="AV160" s="381" t="e">
        <f t="shared" si="31"/>
        <v>#N/A</v>
      </c>
      <c r="AW160" s="380" t="e">
        <f t="shared" si="31"/>
        <v>#N/A</v>
      </c>
    </row>
    <row r="161" spans="37:49" x14ac:dyDescent="0.25">
      <c r="AK161" s="308">
        <v>101</v>
      </c>
      <c r="AL161" s="303" t="str">
        <f t="shared" si="32"/>
        <v/>
      </c>
      <c r="AM161" s="381" t="e">
        <f t="shared" si="34"/>
        <v>#N/A</v>
      </c>
      <c r="AN161" s="381" t="e">
        <f t="shared" si="34"/>
        <v>#N/A</v>
      </c>
      <c r="AO161" s="381" t="e">
        <f t="shared" si="34"/>
        <v>#N/A</v>
      </c>
      <c r="AP161" s="380" t="e">
        <f t="shared" si="34"/>
        <v>#N/A</v>
      </c>
      <c r="AQ161" s="303" t="e">
        <f>NA()</f>
        <v>#N/A</v>
      </c>
      <c r="AR161" s="308"/>
      <c r="AU161" s="381" t="e">
        <f t="shared" si="33"/>
        <v>#N/A</v>
      </c>
      <c r="AV161" s="381" t="e">
        <f t="shared" ref="AV161:AW180" si="35">IF(ISBLANK(VLOOKUP($AK161,$AK$43:$AW$56,AV$59,FALSE)),NA(),VLOOKUP($AK161,$AK$43:$AW$56,AV$59,FALSE))</f>
        <v>#N/A</v>
      </c>
      <c r="AW161" s="380" t="e">
        <f t="shared" si="35"/>
        <v>#N/A</v>
      </c>
    </row>
    <row r="162" spans="37:49" x14ac:dyDescent="0.25">
      <c r="AK162" s="308">
        <v>102</v>
      </c>
      <c r="AL162" s="303" t="str">
        <f t="shared" si="32"/>
        <v/>
      </c>
      <c r="AM162" s="381" t="e">
        <f t="shared" si="34"/>
        <v>#N/A</v>
      </c>
      <c r="AN162" s="381" t="e">
        <f t="shared" si="34"/>
        <v>#N/A</v>
      </c>
      <c r="AO162" s="381" t="e">
        <f t="shared" si="34"/>
        <v>#N/A</v>
      </c>
      <c r="AP162" s="380" t="e">
        <f t="shared" si="34"/>
        <v>#N/A</v>
      </c>
      <c r="AQ162" s="303" t="e">
        <f>NA()</f>
        <v>#N/A</v>
      </c>
      <c r="AR162" s="308"/>
      <c r="AU162" s="381" t="e">
        <f t="shared" si="33"/>
        <v>#N/A</v>
      </c>
      <c r="AV162" s="381" t="e">
        <f t="shared" si="35"/>
        <v>#N/A</v>
      </c>
      <c r="AW162" s="380" t="e">
        <f t="shared" si="35"/>
        <v>#N/A</v>
      </c>
    </row>
    <row r="163" spans="37:49" x14ac:dyDescent="0.25">
      <c r="AK163" s="308">
        <v>103</v>
      </c>
      <c r="AL163" s="303" t="str">
        <f t="shared" si="32"/>
        <v/>
      </c>
      <c r="AM163" s="381" t="e">
        <f t="shared" si="34"/>
        <v>#N/A</v>
      </c>
      <c r="AN163" s="381" t="e">
        <f t="shared" si="34"/>
        <v>#N/A</v>
      </c>
      <c r="AO163" s="381" t="e">
        <f t="shared" si="34"/>
        <v>#N/A</v>
      </c>
      <c r="AP163" s="380" t="e">
        <f t="shared" si="34"/>
        <v>#N/A</v>
      </c>
      <c r="AQ163" s="303" t="e">
        <f>NA()</f>
        <v>#N/A</v>
      </c>
      <c r="AR163" s="308"/>
      <c r="AU163" s="381" t="e">
        <f t="shared" si="33"/>
        <v>#N/A</v>
      </c>
      <c r="AV163" s="381" t="e">
        <f t="shared" si="35"/>
        <v>#N/A</v>
      </c>
      <c r="AW163" s="380" t="e">
        <f t="shared" si="35"/>
        <v>#N/A</v>
      </c>
    </row>
    <row r="164" spans="37:49" x14ac:dyDescent="0.25">
      <c r="AK164" s="308">
        <v>104</v>
      </c>
      <c r="AL164" s="303" t="str">
        <f t="shared" si="32"/>
        <v/>
      </c>
      <c r="AM164" s="381" t="e">
        <f t="shared" si="34"/>
        <v>#N/A</v>
      </c>
      <c r="AN164" s="381" t="e">
        <f t="shared" si="34"/>
        <v>#N/A</v>
      </c>
      <c r="AO164" s="381" t="e">
        <f t="shared" si="34"/>
        <v>#N/A</v>
      </c>
      <c r="AP164" s="380" t="e">
        <f t="shared" si="34"/>
        <v>#N/A</v>
      </c>
      <c r="AQ164" s="303" t="e">
        <f>NA()</f>
        <v>#N/A</v>
      </c>
      <c r="AR164" s="308"/>
      <c r="AU164" s="381" t="e">
        <f t="shared" si="33"/>
        <v>#N/A</v>
      </c>
      <c r="AV164" s="381" t="e">
        <f t="shared" si="35"/>
        <v>#N/A</v>
      </c>
      <c r="AW164" s="380" t="e">
        <f t="shared" si="35"/>
        <v>#N/A</v>
      </c>
    </row>
    <row r="165" spans="37:49" x14ac:dyDescent="0.25">
      <c r="AK165" s="308">
        <v>105</v>
      </c>
      <c r="AL165" s="303" t="str">
        <f t="shared" si="32"/>
        <v/>
      </c>
      <c r="AM165" s="381" t="e">
        <f t="shared" si="34"/>
        <v>#N/A</v>
      </c>
      <c r="AN165" s="381" t="e">
        <f t="shared" si="34"/>
        <v>#N/A</v>
      </c>
      <c r="AO165" s="381" t="e">
        <f t="shared" si="34"/>
        <v>#N/A</v>
      </c>
      <c r="AP165" s="380" t="e">
        <f t="shared" si="34"/>
        <v>#N/A</v>
      </c>
      <c r="AQ165" s="303" t="e">
        <f>NA()</f>
        <v>#N/A</v>
      </c>
      <c r="AR165" s="308"/>
      <c r="AU165" s="381" t="e">
        <f t="shared" si="33"/>
        <v>#N/A</v>
      </c>
      <c r="AV165" s="381" t="e">
        <f t="shared" si="35"/>
        <v>#N/A</v>
      </c>
      <c r="AW165" s="380" t="e">
        <f t="shared" si="35"/>
        <v>#N/A</v>
      </c>
    </row>
    <row r="166" spans="37:49" x14ac:dyDescent="0.25">
      <c r="AK166" s="308">
        <v>106</v>
      </c>
      <c r="AL166" s="303" t="str">
        <f t="shared" si="32"/>
        <v/>
      </c>
      <c r="AM166" s="381" t="e">
        <f t="shared" si="34"/>
        <v>#N/A</v>
      </c>
      <c r="AN166" s="381" t="e">
        <f t="shared" si="34"/>
        <v>#N/A</v>
      </c>
      <c r="AO166" s="381" t="e">
        <f t="shared" si="34"/>
        <v>#N/A</v>
      </c>
      <c r="AP166" s="380" t="e">
        <f t="shared" si="34"/>
        <v>#N/A</v>
      </c>
      <c r="AQ166" s="303" t="e">
        <f>NA()</f>
        <v>#N/A</v>
      </c>
      <c r="AR166" s="308"/>
      <c r="AU166" s="381" t="e">
        <f t="shared" si="33"/>
        <v>#N/A</v>
      </c>
      <c r="AV166" s="381" t="e">
        <f t="shared" si="35"/>
        <v>#N/A</v>
      </c>
      <c r="AW166" s="380" t="e">
        <f t="shared" si="35"/>
        <v>#N/A</v>
      </c>
    </row>
    <row r="167" spans="37:49" x14ac:dyDescent="0.25">
      <c r="AK167" s="308">
        <v>107</v>
      </c>
      <c r="AL167" s="303" t="str">
        <f t="shared" si="32"/>
        <v/>
      </c>
      <c r="AM167" s="381" t="e">
        <f t="shared" si="34"/>
        <v>#N/A</v>
      </c>
      <c r="AN167" s="381" t="e">
        <f t="shared" si="34"/>
        <v>#N/A</v>
      </c>
      <c r="AO167" s="381" t="e">
        <f t="shared" si="34"/>
        <v>#N/A</v>
      </c>
      <c r="AP167" s="380" t="e">
        <f t="shared" si="34"/>
        <v>#N/A</v>
      </c>
      <c r="AQ167" s="303" t="e">
        <f>NA()</f>
        <v>#N/A</v>
      </c>
      <c r="AR167" s="308"/>
      <c r="AU167" s="381" t="e">
        <f t="shared" si="33"/>
        <v>#N/A</v>
      </c>
      <c r="AV167" s="381" t="e">
        <f t="shared" si="35"/>
        <v>#N/A</v>
      </c>
      <c r="AW167" s="380" t="e">
        <f t="shared" si="35"/>
        <v>#N/A</v>
      </c>
    </row>
    <row r="168" spans="37:49" x14ac:dyDescent="0.25">
      <c r="AK168" s="308">
        <v>108</v>
      </c>
      <c r="AL168" s="303" t="str">
        <f t="shared" si="32"/>
        <v/>
      </c>
      <c r="AM168" s="381" t="e">
        <f t="shared" si="34"/>
        <v>#N/A</v>
      </c>
      <c r="AN168" s="381" t="e">
        <f t="shared" si="34"/>
        <v>#N/A</v>
      </c>
      <c r="AO168" s="381" t="e">
        <f t="shared" si="34"/>
        <v>#N/A</v>
      </c>
      <c r="AP168" s="380" t="e">
        <f t="shared" si="34"/>
        <v>#N/A</v>
      </c>
      <c r="AQ168" s="303" t="e">
        <f>NA()</f>
        <v>#N/A</v>
      </c>
      <c r="AR168" s="308"/>
      <c r="AU168" s="381" t="e">
        <f t="shared" si="33"/>
        <v>#N/A</v>
      </c>
      <c r="AV168" s="381" t="e">
        <f t="shared" si="35"/>
        <v>#N/A</v>
      </c>
      <c r="AW168" s="380" t="e">
        <f t="shared" si="35"/>
        <v>#N/A</v>
      </c>
    </row>
    <row r="169" spans="37:49" x14ac:dyDescent="0.25">
      <c r="AK169" s="308">
        <v>109</v>
      </c>
      <c r="AL169" s="303" t="str">
        <f t="shared" si="32"/>
        <v/>
      </c>
      <c r="AM169" s="381" t="e">
        <f t="shared" si="34"/>
        <v>#N/A</v>
      </c>
      <c r="AN169" s="381" t="e">
        <f t="shared" si="34"/>
        <v>#N/A</v>
      </c>
      <c r="AO169" s="381" t="e">
        <f t="shared" si="34"/>
        <v>#N/A</v>
      </c>
      <c r="AP169" s="380" t="e">
        <f t="shared" si="34"/>
        <v>#N/A</v>
      </c>
      <c r="AQ169" s="303" t="e">
        <f>NA()</f>
        <v>#N/A</v>
      </c>
      <c r="AR169" s="308"/>
      <c r="AU169" s="381" t="e">
        <f t="shared" si="33"/>
        <v>#N/A</v>
      </c>
      <c r="AV169" s="381" t="e">
        <f t="shared" si="35"/>
        <v>#N/A</v>
      </c>
      <c r="AW169" s="380" t="e">
        <f t="shared" si="35"/>
        <v>#N/A</v>
      </c>
    </row>
    <row r="170" spans="37:49" x14ac:dyDescent="0.25">
      <c r="AK170" s="308">
        <v>110</v>
      </c>
      <c r="AL170" s="303" t="str">
        <f t="shared" si="32"/>
        <v/>
      </c>
      <c r="AM170" s="381" t="e">
        <f t="shared" si="34"/>
        <v>#N/A</v>
      </c>
      <c r="AN170" s="381" t="e">
        <f t="shared" si="34"/>
        <v>#N/A</v>
      </c>
      <c r="AO170" s="381" t="e">
        <f t="shared" si="34"/>
        <v>#N/A</v>
      </c>
      <c r="AP170" s="380" t="e">
        <f t="shared" si="34"/>
        <v>#N/A</v>
      </c>
      <c r="AQ170" s="303" t="e">
        <f>NA()</f>
        <v>#N/A</v>
      </c>
      <c r="AR170" s="308"/>
      <c r="AU170" s="381" t="e">
        <f t="shared" si="33"/>
        <v>#N/A</v>
      </c>
      <c r="AV170" s="381" t="e">
        <f t="shared" si="35"/>
        <v>#N/A</v>
      </c>
      <c r="AW170" s="380" t="e">
        <f t="shared" si="35"/>
        <v>#N/A</v>
      </c>
    </row>
    <row r="171" spans="37:49" x14ac:dyDescent="0.25">
      <c r="AK171" s="308">
        <v>111</v>
      </c>
      <c r="AL171" s="303" t="str">
        <f t="shared" si="32"/>
        <v/>
      </c>
      <c r="AM171" s="381" t="e">
        <f t="shared" si="34"/>
        <v>#N/A</v>
      </c>
      <c r="AN171" s="381" t="e">
        <f t="shared" si="34"/>
        <v>#N/A</v>
      </c>
      <c r="AO171" s="381" t="e">
        <f t="shared" si="34"/>
        <v>#N/A</v>
      </c>
      <c r="AP171" s="380" t="e">
        <f t="shared" si="34"/>
        <v>#N/A</v>
      </c>
      <c r="AQ171" s="303" t="e">
        <f>NA()</f>
        <v>#N/A</v>
      </c>
      <c r="AR171" s="308"/>
      <c r="AU171" s="381" t="e">
        <f t="shared" si="33"/>
        <v>#N/A</v>
      </c>
      <c r="AV171" s="381" t="e">
        <f t="shared" si="35"/>
        <v>#N/A</v>
      </c>
      <c r="AW171" s="380" t="e">
        <f t="shared" si="35"/>
        <v>#N/A</v>
      </c>
    </row>
    <row r="172" spans="37:49" x14ac:dyDescent="0.25">
      <c r="AK172" s="308">
        <v>112</v>
      </c>
      <c r="AL172" s="303" t="str">
        <f t="shared" si="32"/>
        <v/>
      </c>
      <c r="AM172" s="381" t="e">
        <f t="shared" si="34"/>
        <v>#N/A</v>
      </c>
      <c r="AN172" s="381" t="e">
        <f t="shared" si="34"/>
        <v>#N/A</v>
      </c>
      <c r="AO172" s="381" t="e">
        <f t="shared" si="34"/>
        <v>#N/A</v>
      </c>
      <c r="AP172" s="380" t="e">
        <f t="shared" si="34"/>
        <v>#N/A</v>
      </c>
      <c r="AQ172" s="303" t="e">
        <f>NA()</f>
        <v>#N/A</v>
      </c>
      <c r="AR172" s="308"/>
      <c r="AU172" s="381" t="e">
        <f t="shared" si="33"/>
        <v>#N/A</v>
      </c>
      <c r="AV172" s="381" t="e">
        <f t="shared" si="35"/>
        <v>#N/A</v>
      </c>
      <c r="AW172" s="380" t="e">
        <f t="shared" si="35"/>
        <v>#N/A</v>
      </c>
    </row>
    <row r="173" spans="37:49" x14ac:dyDescent="0.25">
      <c r="AK173" s="308">
        <v>113</v>
      </c>
      <c r="AL173" s="303" t="str">
        <f t="shared" si="32"/>
        <v/>
      </c>
      <c r="AM173" s="381" t="e">
        <f t="shared" si="34"/>
        <v>#N/A</v>
      </c>
      <c r="AN173" s="381" t="e">
        <f t="shared" si="34"/>
        <v>#N/A</v>
      </c>
      <c r="AO173" s="381" t="e">
        <f t="shared" si="34"/>
        <v>#N/A</v>
      </c>
      <c r="AP173" s="380" t="e">
        <f t="shared" si="34"/>
        <v>#N/A</v>
      </c>
      <c r="AQ173" s="303" t="e">
        <f>NA()</f>
        <v>#N/A</v>
      </c>
      <c r="AR173" s="308"/>
      <c r="AU173" s="381" t="e">
        <f t="shared" si="33"/>
        <v>#N/A</v>
      </c>
      <c r="AV173" s="381" t="e">
        <f t="shared" si="35"/>
        <v>#N/A</v>
      </c>
      <c r="AW173" s="380" t="e">
        <f t="shared" si="35"/>
        <v>#N/A</v>
      </c>
    </row>
    <row r="174" spans="37:49" x14ac:dyDescent="0.25">
      <c r="AK174" s="308">
        <v>114</v>
      </c>
      <c r="AL174" s="303" t="str">
        <f t="shared" si="32"/>
        <v/>
      </c>
      <c r="AM174" s="381" t="e">
        <f t="shared" si="34"/>
        <v>#N/A</v>
      </c>
      <c r="AN174" s="381" t="e">
        <f t="shared" si="34"/>
        <v>#N/A</v>
      </c>
      <c r="AO174" s="381" t="e">
        <f t="shared" si="34"/>
        <v>#N/A</v>
      </c>
      <c r="AP174" s="380" t="e">
        <f t="shared" si="34"/>
        <v>#N/A</v>
      </c>
      <c r="AQ174" s="303" t="e">
        <f>NA()</f>
        <v>#N/A</v>
      </c>
      <c r="AR174" s="308"/>
      <c r="AU174" s="381" t="e">
        <f t="shared" si="33"/>
        <v>#N/A</v>
      </c>
      <c r="AV174" s="381" t="e">
        <f t="shared" si="35"/>
        <v>#N/A</v>
      </c>
      <c r="AW174" s="380" t="e">
        <f t="shared" si="35"/>
        <v>#N/A</v>
      </c>
    </row>
    <row r="175" spans="37:49" x14ac:dyDescent="0.25">
      <c r="AK175" s="308">
        <v>115</v>
      </c>
      <c r="AL175" s="303" t="str">
        <f t="shared" si="32"/>
        <v>1 1/2 in.</v>
      </c>
      <c r="AM175" s="381" t="e">
        <f t="shared" si="34"/>
        <v>#REF!</v>
      </c>
      <c r="AN175" s="381" t="e">
        <f t="shared" si="34"/>
        <v>#N/A</v>
      </c>
      <c r="AO175" s="381" t="e">
        <f t="shared" si="34"/>
        <v>#N/A</v>
      </c>
      <c r="AP175" s="380" t="e">
        <f t="shared" si="34"/>
        <v>#N/A</v>
      </c>
      <c r="AQ175" s="382">
        <f>AQ67</f>
        <v>1</v>
      </c>
      <c r="AR175" s="308"/>
      <c r="AU175" s="381" t="e">
        <f t="shared" si="33"/>
        <v>#REF!</v>
      </c>
      <c r="AV175" s="381" t="e">
        <f t="shared" si="35"/>
        <v>#REF!</v>
      </c>
      <c r="AW175" s="380" t="str">
        <f t="shared" si="35"/>
        <v/>
      </c>
    </row>
    <row r="176" spans="37:49" x14ac:dyDescent="0.25">
      <c r="AK176" s="308">
        <v>116</v>
      </c>
      <c r="AL176" s="303" t="str">
        <f t="shared" si="32"/>
        <v/>
      </c>
      <c r="AM176" s="381" t="e">
        <f t="shared" si="34"/>
        <v>#N/A</v>
      </c>
      <c r="AN176" s="381" t="e">
        <f t="shared" si="34"/>
        <v>#N/A</v>
      </c>
      <c r="AO176" s="381" t="e">
        <f t="shared" si="34"/>
        <v>#N/A</v>
      </c>
      <c r="AP176" s="380" t="e">
        <f t="shared" si="34"/>
        <v>#N/A</v>
      </c>
      <c r="AQ176" s="303" t="e">
        <f>NA()</f>
        <v>#N/A</v>
      </c>
      <c r="AR176" s="308"/>
      <c r="AU176" s="381" t="e">
        <f t="shared" si="33"/>
        <v>#N/A</v>
      </c>
      <c r="AV176" s="381" t="e">
        <f t="shared" si="35"/>
        <v>#N/A</v>
      </c>
      <c r="AW176" s="380" t="e">
        <f t="shared" si="35"/>
        <v>#N/A</v>
      </c>
    </row>
    <row r="177" spans="37:49" x14ac:dyDescent="0.25">
      <c r="AK177" s="308">
        <v>117</v>
      </c>
      <c r="AL177" s="303" t="str">
        <f t="shared" si="32"/>
        <v/>
      </c>
      <c r="AM177" s="381" t="e">
        <f t="shared" si="34"/>
        <v>#N/A</v>
      </c>
      <c r="AN177" s="381" t="e">
        <f t="shared" si="34"/>
        <v>#N/A</v>
      </c>
      <c r="AO177" s="381" t="e">
        <f t="shared" si="34"/>
        <v>#N/A</v>
      </c>
      <c r="AP177" s="380" t="e">
        <f t="shared" si="34"/>
        <v>#N/A</v>
      </c>
      <c r="AQ177" s="303" t="e">
        <f>NA()</f>
        <v>#N/A</v>
      </c>
      <c r="AR177" s="308"/>
      <c r="AU177" s="381" t="e">
        <f t="shared" si="33"/>
        <v>#N/A</v>
      </c>
      <c r="AV177" s="381" t="e">
        <f t="shared" si="35"/>
        <v>#N/A</v>
      </c>
      <c r="AW177" s="380" t="e">
        <f t="shared" si="35"/>
        <v>#N/A</v>
      </c>
    </row>
    <row r="178" spans="37:49" x14ac:dyDescent="0.25">
      <c r="AK178" s="308">
        <v>118</v>
      </c>
      <c r="AL178" s="303" t="str">
        <f t="shared" si="32"/>
        <v/>
      </c>
      <c r="AM178" s="381" t="e">
        <f t="shared" si="34"/>
        <v>#N/A</v>
      </c>
      <c r="AN178" s="381" t="e">
        <f t="shared" si="34"/>
        <v>#N/A</v>
      </c>
      <c r="AO178" s="381" t="e">
        <f t="shared" si="34"/>
        <v>#N/A</v>
      </c>
      <c r="AP178" s="380" t="e">
        <f t="shared" si="34"/>
        <v>#N/A</v>
      </c>
      <c r="AQ178" s="303" t="e">
        <f>NA()</f>
        <v>#N/A</v>
      </c>
      <c r="AR178" s="308"/>
      <c r="AU178" s="381" t="e">
        <f t="shared" si="33"/>
        <v>#N/A</v>
      </c>
      <c r="AV178" s="381" t="e">
        <f t="shared" si="35"/>
        <v>#N/A</v>
      </c>
      <c r="AW178" s="380" t="e">
        <f t="shared" si="35"/>
        <v>#N/A</v>
      </c>
    </row>
    <row r="179" spans="37:49" x14ac:dyDescent="0.25">
      <c r="AK179" s="308">
        <v>119</v>
      </c>
      <c r="AL179" s="303" t="str">
        <f t="shared" si="32"/>
        <v/>
      </c>
      <c r="AM179" s="381" t="e">
        <f t="shared" si="34"/>
        <v>#N/A</v>
      </c>
      <c r="AN179" s="381" t="e">
        <f t="shared" si="34"/>
        <v>#N/A</v>
      </c>
      <c r="AO179" s="381" t="e">
        <f t="shared" si="34"/>
        <v>#N/A</v>
      </c>
      <c r="AP179" s="380" t="e">
        <f t="shared" si="34"/>
        <v>#N/A</v>
      </c>
      <c r="AQ179" s="303" t="e">
        <f>NA()</f>
        <v>#N/A</v>
      </c>
      <c r="AR179" s="308"/>
      <c r="AU179" s="381" t="e">
        <f t="shared" si="33"/>
        <v>#N/A</v>
      </c>
      <c r="AV179" s="381" t="e">
        <f t="shared" si="35"/>
        <v>#N/A</v>
      </c>
      <c r="AW179" s="380" t="e">
        <f t="shared" si="35"/>
        <v>#N/A</v>
      </c>
    </row>
    <row r="180" spans="37:49" x14ac:dyDescent="0.25">
      <c r="AK180" s="308">
        <v>120</v>
      </c>
      <c r="AL180" s="303" t="str">
        <f t="shared" si="32"/>
        <v/>
      </c>
      <c r="AM180" s="381" t="e">
        <f t="shared" ref="AM180:AP198" si="36">IF(ISBLANK(VLOOKUP($AK180,$AK$43:$AP$56,AM$59,FALSE)),NA(),VLOOKUP($AK180,$AK$43:$AP$56,AM$59,FALSE))</f>
        <v>#N/A</v>
      </c>
      <c r="AN180" s="381" t="e">
        <f t="shared" si="36"/>
        <v>#N/A</v>
      </c>
      <c r="AO180" s="381" t="e">
        <f t="shared" si="36"/>
        <v>#N/A</v>
      </c>
      <c r="AP180" s="380" t="e">
        <f t="shared" si="36"/>
        <v>#N/A</v>
      </c>
      <c r="AQ180" s="303" t="e">
        <f>NA()</f>
        <v>#N/A</v>
      </c>
      <c r="AR180" s="308"/>
      <c r="AU180" s="381" t="e">
        <f t="shared" si="33"/>
        <v>#N/A</v>
      </c>
      <c r="AV180" s="381" t="e">
        <f t="shared" si="35"/>
        <v>#N/A</v>
      </c>
      <c r="AW180" s="380" t="e">
        <f t="shared" si="35"/>
        <v>#N/A</v>
      </c>
    </row>
    <row r="181" spans="37:49" x14ac:dyDescent="0.25">
      <c r="AK181" s="308">
        <v>121</v>
      </c>
      <c r="AL181" s="303" t="str">
        <f t="shared" si="32"/>
        <v/>
      </c>
      <c r="AM181" s="381" t="e">
        <f t="shared" si="36"/>
        <v>#N/A</v>
      </c>
      <c r="AN181" s="381" t="e">
        <f t="shared" si="36"/>
        <v>#N/A</v>
      </c>
      <c r="AO181" s="381" t="e">
        <f t="shared" si="36"/>
        <v>#N/A</v>
      </c>
      <c r="AP181" s="380" t="e">
        <f t="shared" si="36"/>
        <v>#N/A</v>
      </c>
      <c r="AQ181" s="303" t="e">
        <f>NA()</f>
        <v>#N/A</v>
      </c>
      <c r="AR181" s="308"/>
      <c r="AU181" s="381" t="e">
        <f t="shared" si="33"/>
        <v>#N/A</v>
      </c>
      <c r="AV181" s="381" t="e">
        <f t="shared" ref="AV181:AW198" si="37">IF(ISBLANK(VLOOKUP($AK181,$AK$43:$AW$56,AV$59,FALSE)),NA(),VLOOKUP($AK181,$AK$43:$AW$56,AV$59,FALSE))</f>
        <v>#N/A</v>
      </c>
      <c r="AW181" s="380" t="e">
        <f t="shared" si="37"/>
        <v>#N/A</v>
      </c>
    </row>
    <row r="182" spans="37:49" x14ac:dyDescent="0.25">
      <c r="AK182" s="308">
        <v>122</v>
      </c>
      <c r="AL182" s="303" t="str">
        <f t="shared" si="32"/>
        <v/>
      </c>
      <c r="AM182" s="381" t="e">
        <f t="shared" si="36"/>
        <v>#N/A</v>
      </c>
      <c r="AN182" s="381" t="e">
        <f t="shared" si="36"/>
        <v>#N/A</v>
      </c>
      <c r="AO182" s="381" t="e">
        <f t="shared" si="36"/>
        <v>#N/A</v>
      </c>
      <c r="AP182" s="380" t="e">
        <f t="shared" si="36"/>
        <v>#N/A</v>
      </c>
      <c r="AQ182" s="303" t="e">
        <f>NA()</f>
        <v>#N/A</v>
      </c>
      <c r="AR182" s="308"/>
      <c r="AU182" s="381" t="e">
        <f t="shared" si="33"/>
        <v>#N/A</v>
      </c>
      <c r="AV182" s="381" t="e">
        <f t="shared" si="37"/>
        <v>#N/A</v>
      </c>
      <c r="AW182" s="380" t="e">
        <f t="shared" si="37"/>
        <v>#N/A</v>
      </c>
    </row>
    <row r="183" spans="37:49" x14ac:dyDescent="0.25">
      <c r="AK183" s="308">
        <v>123</v>
      </c>
      <c r="AL183" s="303" t="str">
        <f t="shared" si="32"/>
        <v/>
      </c>
      <c r="AM183" s="381" t="e">
        <f t="shared" si="36"/>
        <v>#N/A</v>
      </c>
      <c r="AN183" s="381" t="e">
        <f t="shared" si="36"/>
        <v>#N/A</v>
      </c>
      <c r="AO183" s="381" t="e">
        <f t="shared" si="36"/>
        <v>#N/A</v>
      </c>
      <c r="AP183" s="380" t="e">
        <f t="shared" si="36"/>
        <v>#N/A</v>
      </c>
      <c r="AQ183" s="303" t="e">
        <f>NA()</f>
        <v>#N/A</v>
      </c>
      <c r="AR183" s="308"/>
      <c r="AU183" s="381" t="e">
        <f t="shared" si="33"/>
        <v>#N/A</v>
      </c>
      <c r="AV183" s="381" t="e">
        <f t="shared" si="37"/>
        <v>#N/A</v>
      </c>
      <c r="AW183" s="380" t="e">
        <f t="shared" si="37"/>
        <v>#N/A</v>
      </c>
    </row>
    <row r="184" spans="37:49" x14ac:dyDescent="0.25">
      <c r="AK184" s="308">
        <v>124</v>
      </c>
      <c r="AL184" s="303" t="str">
        <f t="shared" si="32"/>
        <v/>
      </c>
      <c r="AM184" s="381" t="e">
        <f t="shared" si="36"/>
        <v>#N/A</v>
      </c>
      <c r="AN184" s="381" t="e">
        <f t="shared" si="36"/>
        <v>#N/A</v>
      </c>
      <c r="AO184" s="381" t="e">
        <f t="shared" si="36"/>
        <v>#N/A</v>
      </c>
      <c r="AP184" s="380" t="e">
        <f t="shared" si="36"/>
        <v>#N/A</v>
      </c>
      <c r="AQ184" s="303" t="e">
        <f>NA()</f>
        <v>#N/A</v>
      </c>
      <c r="AR184" s="308"/>
      <c r="AU184" s="381" t="e">
        <f t="shared" si="33"/>
        <v>#N/A</v>
      </c>
      <c r="AV184" s="381" t="e">
        <f t="shared" si="37"/>
        <v>#N/A</v>
      </c>
      <c r="AW184" s="380" t="e">
        <f t="shared" si="37"/>
        <v>#N/A</v>
      </c>
    </row>
    <row r="185" spans="37:49" x14ac:dyDescent="0.25">
      <c r="AK185" s="308">
        <v>125</v>
      </c>
      <c r="AL185" s="303" t="str">
        <f t="shared" si="32"/>
        <v/>
      </c>
      <c r="AM185" s="381" t="e">
        <f t="shared" si="36"/>
        <v>#N/A</v>
      </c>
      <c r="AN185" s="381" t="e">
        <f t="shared" si="36"/>
        <v>#N/A</v>
      </c>
      <c r="AO185" s="381" t="e">
        <f t="shared" si="36"/>
        <v>#N/A</v>
      </c>
      <c r="AP185" s="380" t="e">
        <f t="shared" si="36"/>
        <v>#N/A</v>
      </c>
      <c r="AQ185" s="303" t="e">
        <f>NA()</f>
        <v>#N/A</v>
      </c>
      <c r="AR185" s="308"/>
      <c r="AU185" s="381" t="e">
        <f t="shared" si="33"/>
        <v>#N/A</v>
      </c>
      <c r="AV185" s="381" t="e">
        <f t="shared" si="37"/>
        <v>#N/A</v>
      </c>
      <c r="AW185" s="380" t="e">
        <f t="shared" si="37"/>
        <v>#N/A</v>
      </c>
    </row>
    <row r="186" spans="37:49" x14ac:dyDescent="0.25">
      <c r="AK186" s="308">
        <v>126</v>
      </c>
      <c r="AL186" s="303" t="str">
        <f t="shared" si="32"/>
        <v/>
      </c>
      <c r="AM186" s="381" t="e">
        <f t="shared" si="36"/>
        <v>#N/A</v>
      </c>
      <c r="AN186" s="381" t="e">
        <f t="shared" si="36"/>
        <v>#N/A</v>
      </c>
      <c r="AO186" s="381" t="e">
        <f t="shared" si="36"/>
        <v>#N/A</v>
      </c>
      <c r="AP186" s="380" t="e">
        <f t="shared" si="36"/>
        <v>#N/A</v>
      </c>
      <c r="AQ186" s="303" t="e">
        <f>NA()</f>
        <v>#N/A</v>
      </c>
      <c r="AR186" s="308"/>
      <c r="AU186" s="381" t="e">
        <f t="shared" si="33"/>
        <v>#N/A</v>
      </c>
      <c r="AV186" s="381" t="e">
        <f t="shared" si="37"/>
        <v>#N/A</v>
      </c>
      <c r="AW186" s="380" t="e">
        <f t="shared" si="37"/>
        <v>#N/A</v>
      </c>
    </row>
    <row r="187" spans="37:49" x14ac:dyDescent="0.25">
      <c r="AK187" s="308">
        <v>127</v>
      </c>
      <c r="AL187" s="303" t="str">
        <f t="shared" si="32"/>
        <v/>
      </c>
      <c r="AM187" s="381" t="e">
        <f t="shared" si="36"/>
        <v>#N/A</v>
      </c>
      <c r="AN187" s="381" t="e">
        <f t="shared" si="36"/>
        <v>#N/A</v>
      </c>
      <c r="AO187" s="381" t="e">
        <f t="shared" si="36"/>
        <v>#N/A</v>
      </c>
      <c r="AP187" s="380" t="e">
        <f t="shared" si="36"/>
        <v>#N/A</v>
      </c>
      <c r="AQ187" s="303" t="e">
        <f>NA()</f>
        <v>#N/A</v>
      </c>
      <c r="AR187" s="308"/>
      <c r="AU187" s="381" t="e">
        <f t="shared" si="33"/>
        <v>#N/A</v>
      </c>
      <c r="AV187" s="381" t="e">
        <f t="shared" si="37"/>
        <v>#N/A</v>
      </c>
      <c r="AW187" s="380" t="e">
        <f t="shared" si="37"/>
        <v>#N/A</v>
      </c>
    </row>
    <row r="188" spans="37:49" x14ac:dyDescent="0.25">
      <c r="AK188" s="308">
        <v>128</v>
      </c>
      <c r="AL188" s="303" t="str">
        <f t="shared" ref="AL188:AL198" si="38">IF(ISNA(VLOOKUP($AK188,$AK$43:$AP$56,AL$59,FALSE)),"",VLOOKUP($AK188,$AK$43:$AP$56,AL$59,FALSE))</f>
        <v/>
      </c>
      <c r="AM188" s="381" t="e">
        <f t="shared" si="36"/>
        <v>#N/A</v>
      </c>
      <c r="AN188" s="381" t="e">
        <f t="shared" si="36"/>
        <v>#N/A</v>
      </c>
      <c r="AO188" s="381" t="e">
        <f t="shared" si="36"/>
        <v>#N/A</v>
      </c>
      <c r="AP188" s="380" t="e">
        <f t="shared" si="36"/>
        <v>#N/A</v>
      </c>
      <c r="AQ188" s="303" t="e">
        <f>NA()</f>
        <v>#N/A</v>
      </c>
      <c r="AR188" s="308"/>
      <c r="AU188" s="381" t="e">
        <f t="shared" si="33"/>
        <v>#N/A</v>
      </c>
      <c r="AV188" s="381" t="e">
        <f t="shared" si="37"/>
        <v>#N/A</v>
      </c>
      <c r="AW188" s="380" t="e">
        <f t="shared" si="37"/>
        <v>#N/A</v>
      </c>
    </row>
    <row r="189" spans="37:49" x14ac:dyDescent="0.25">
      <c r="AK189" s="308">
        <v>129</v>
      </c>
      <c r="AL189" s="303" t="str">
        <f t="shared" si="38"/>
        <v/>
      </c>
      <c r="AM189" s="381" t="e">
        <f t="shared" si="36"/>
        <v>#N/A</v>
      </c>
      <c r="AN189" s="381" t="e">
        <f t="shared" si="36"/>
        <v>#N/A</v>
      </c>
      <c r="AO189" s="381" t="e">
        <f t="shared" si="36"/>
        <v>#N/A</v>
      </c>
      <c r="AP189" s="380" t="e">
        <f t="shared" si="36"/>
        <v>#N/A</v>
      </c>
      <c r="AQ189" s="303" t="e">
        <f>NA()</f>
        <v>#N/A</v>
      </c>
      <c r="AR189" s="308"/>
      <c r="AU189" s="381" t="e">
        <f t="shared" ref="AU189:AU198" si="39">IF(ISBLANK(VLOOKUP($AK189,$AK$43:$AU$56,AU$59,FALSE)),NA(),VLOOKUP($AK189,$AK$43:$AU$56,AU$59,FALSE))</f>
        <v>#N/A</v>
      </c>
      <c r="AV189" s="381" t="e">
        <f t="shared" si="37"/>
        <v>#N/A</v>
      </c>
      <c r="AW189" s="380" t="e">
        <f t="shared" si="37"/>
        <v>#N/A</v>
      </c>
    </row>
    <row r="190" spans="37:49" x14ac:dyDescent="0.25">
      <c r="AK190" s="308">
        <v>130</v>
      </c>
      <c r="AL190" s="303" t="str">
        <f t="shared" si="38"/>
        <v/>
      </c>
      <c r="AM190" s="381" t="e">
        <f t="shared" si="36"/>
        <v>#N/A</v>
      </c>
      <c r="AN190" s="381" t="e">
        <f t="shared" si="36"/>
        <v>#N/A</v>
      </c>
      <c r="AO190" s="381" t="e">
        <f t="shared" si="36"/>
        <v>#N/A</v>
      </c>
      <c r="AP190" s="380" t="e">
        <f t="shared" si="36"/>
        <v>#N/A</v>
      </c>
      <c r="AQ190" s="303" t="e">
        <f>NA()</f>
        <v>#N/A</v>
      </c>
      <c r="AR190" s="308"/>
      <c r="AU190" s="381" t="e">
        <f t="shared" si="39"/>
        <v>#N/A</v>
      </c>
      <c r="AV190" s="381" t="e">
        <f t="shared" si="37"/>
        <v>#N/A</v>
      </c>
      <c r="AW190" s="380" t="e">
        <f t="shared" si="37"/>
        <v>#N/A</v>
      </c>
    </row>
    <row r="191" spans="37:49" x14ac:dyDescent="0.25">
      <c r="AK191" s="308">
        <v>131</v>
      </c>
      <c r="AL191" s="303" t="str">
        <f t="shared" si="38"/>
        <v>2 in.</v>
      </c>
      <c r="AM191" s="381" t="e">
        <f t="shared" si="36"/>
        <v>#REF!</v>
      </c>
      <c r="AN191" s="381" t="e">
        <f t="shared" si="36"/>
        <v>#N/A</v>
      </c>
      <c r="AO191" s="381" t="e">
        <f t="shared" si="36"/>
        <v>#DIV/0!</v>
      </c>
      <c r="AP191" s="380" t="e">
        <f t="shared" si="36"/>
        <v>#DIV/0!</v>
      </c>
      <c r="AQ191" s="382">
        <f>AQ67</f>
        <v>1</v>
      </c>
      <c r="AR191" s="308"/>
      <c r="AU191" s="381" t="e">
        <f t="shared" si="39"/>
        <v>#REF!</v>
      </c>
      <c r="AV191" s="381" t="e">
        <f t="shared" si="37"/>
        <v>#REF!</v>
      </c>
      <c r="AW191" s="380" t="str">
        <f t="shared" si="37"/>
        <v/>
      </c>
    </row>
    <row r="192" spans="37:49" x14ac:dyDescent="0.25">
      <c r="AK192" s="308">
        <v>132</v>
      </c>
      <c r="AL192" s="303" t="str">
        <f t="shared" si="38"/>
        <v/>
      </c>
      <c r="AM192" s="381" t="e">
        <f t="shared" si="36"/>
        <v>#N/A</v>
      </c>
      <c r="AN192" s="381" t="e">
        <f t="shared" si="36"/>
        <v>#N/A</v>
      </c>
      <c r="AO192" s="381" t="e">
        <f t="shared" si="36"/>
        <v>#N/A</v>
      </c>
      <c r="AP192" s="380" t="e">
        <f t="shared" si="36"/>
        <v>#N/A</v>
      </c>
      <c r="AQ192" s="303" t="e">
        <f>NA()</f>
        <v>#N/A</v>
      </c>
      <c r="AR192" s="308"/>
      <c r="AU192" s="381" t="e">
        <f t="shared" si="39"/>
        <v>#N/A</v>
      </c>
      <c r="AV192" s="381" t="e">
        <f t="shared" si="37"/>
        <v>#N/A</v>
      </c>
      <c r="AW192" s="380" t="e">
        <f t="shared" si="37"/>
        <v>#N/A</v>
      </c>
    </row>
    <row r="193" spans="37:49" x14ac:dyDescent="0.25">
      <c r="AK193" s="308">
        <v>133</v>
      </c>
      <c r="AL193" s="303" t="str">
        <f t="shared" si="38"/>
        <v/>
      </c>
      <c r="AM193" s="381" t="e">
        <f t="shared" si="36"/>
        <v>#N/A</v>
      </c>
      <c r="AN193" s="381" t="e">
        <f t="shared" si="36"/>
        <v>#N/A</v>
      </c>
      <c r="AO193" s="381" t="e">
        <f t="shared" si="36"/>
        <v>#N/A</v>
      </c>
      <c r="AP193" s="380" t="e">
        <f t="shared" si="36"/>
        <v>#N/A</v>
      </c>
      <c r="AQ193" s="303" t="e">
        <f>NA()</f>
        <v>#N/A</v>
      </c>
      <c r="AR193" s="308"/>
      <c r="AU193" s="381" t="e">
        <f t="shared" si="39"/>
        <v>#N/A</v>
      </c>
      <c r="AV193" s="381" t="e">
        <f t="shared" si="37"/>
        <v>#N/A</v>
      </c>
      <c r="AW193" s="380" t="e">
        <f t="shared" si="37"/>
        <v>#N/A</v>
      </c>
    </row>
    <row r="194" spans="37:49" x14ac:dyDescent="0.25">
      <c r="AK194" s="308">
        <v>134</v>
      </c>
      <c r="AL194" s="303" t="str">
        <f t="shared" si="38"/>
        <v/>
      </c>
      <c r="AM194" s="381" t="e">
        <f t="shared" si="36"/>
        <v>#N/A</v>
      </c>
      <c r="AN194" s="381" t="e">
        <f t="shared" si="36"/>
        <v>#N/A</v>
      </c>
      <c r="AO194" s="381" t="e">
        <f t="shared" si="36"/>
        <v>#N/A</v>
      </c>
      <c r="AP194" s="380" t="e">
        <f t="shared" si="36"/>
        <v>#N/A</v>
      </c>
      <c r="AQ194" s="303" t="e">
        <f>NA()</f>
        <v>#N/A</v>
      </c>
      <c r="AR194" s="308"/>
      <c r="AU194" s="381" t="e">
        <f t="shared" si="39"/>
        <v>#N/A</v>
      </c>
      <c r="AV194" s="381" t="e">
        <f t="shared" si="37"/>
        <v>#N/A</v>
      </c>
      <c r="AW194" s="380" t="e">
        <f t="shared" si="37"/>
        <v>#N/A</v>
      </c>
    </row>
    <row r="195" spans="37:49" x14ac:dyDescent="0.25">
      <c r="AK195" s="308">
        <v>135</v>
      </c>
      <c r="AL195" s="303" t="str">
        <f t="shared" si="38"/>
        <v/>
      </c>
      <c r="AM195" s="381" t="e">
        <f t="shared" si="36"/>
        <v>#N/A</v>
      </c>
      <c r="AN195" s="381" t="e">
        <f t="shared" si="36"/>
        <v>#N/A</v>
      </c>
      <c r="AO195" s="381" t="e">
        <f t="shared" si="36"/>
        <v>#N/A</v>
      </c>
      <c r="AP195" s="380" t="e">
        <f t="shared" si="36"/>
        <v>#N/A</v>
      </c>
      <c r="AQ195" s="303" t="e">
        <f>NA()</f>
        <v>#N/A</v>
      </c>
      <c r="AR195" s="308"/>
      <c r="AU195" s="381" t="e">
        <f t="shared" si="39"/>
        <v>#N/A</v>
      </c>
      <c r="AV195" s="381" t="e">
        <f t="shared" si="37"/>
        <v>#N/A</v>
      </c>
      <c r="AW195" s="380" t="e">
        <f t="shared" si="37"/>
        <v>#N/A</v>
      </c>
    </row>
    <row r="196" spans="37:49" x14ac:dyDescent="0.25">
      <c r="AK196" s="308">
        <v>136</v>
      </c>
      <c r="AL196" s="303" t="str">
        <f t="shared" si="38"/>
        <v/>
      </c>
      <c r="AM196" s="381" t="e">
        <f t="shared" si="36"/>
        <v>#N/A</v>
      </c>
      <c r="AN196" s="381" t="e">
        <f t="shared" si="36"/>
        <v>#N/A</v>
      </c>
      <c r="AO196" s="381" t="e">
        <f t="shared" si="36"/>
        <v>#N/A</v>
      </c>
      <c r="AP196" s="380" t="e">
        <f t="shared" si="36"/>
        <v>#N/A</v>
      </c>
      <c r="AQ196" s="303" t="e">
        <f>NA()</f>
        <v>#N/A</v>
      </c>
      <c r="AR196" s="308"/>
      <c r="AU196" s="381" t="e">
        <f t="shared" si="39"/>
        <v>#N/A</v>
      </c>
      <c r="AV196" s="381" t="e">
        <f t="shared" si="37"/>
        <v>#N/A</v>
      </c>
      <c r="AW196" s="380" t="e">
        <f t="shared" si="37"/>
        <v>#N/A</v>
      </c>
    </row>
    <row r="197" spans="37:49" x14ac:dyDescent="0.25">
      <c r="AK197" s="308">
        <v>137</v>
      </c>
      <c r="AL197" s="303" t="str">
        <f t="shared" si="38"/>
        <v/>
      </c>
      <c r="AM197" s="381" t="e">
        <f t="shared" si="36"/>
        <v>#N/A</v>
      </c>
      <c r="AN197" s="381" t="e">
        <f t="shared" si="36"/>
        <v>#N/A</v>
      </c>
      <c r="AO197" s="381" t="e">
        <f t="shared" si="36"/>
        <v>#N/A</v>
      </c>
      <c r="AP197" s="380" t="e">
        <f t="shared" si="36"/>
        <v>#N/A</v>
      </c>
      <c r="AQ197" s="303" t="e">
        <f>NA()</f>
        <v>#N/A</v>
      </c>
      <c r="AR197" s="308"/>
      <c r="AU197" s="381" t="e">
        <f t="shared" si="39"/>
        <v>#N/A</v>
      </c>
      <c r="AV197" s="381" t="e">
        <f t="shared" si="37"/>
        <v>#N/A</v>
      </c>
      <c r="AW197" s="380" t="e">
        <f t="shared" si="37"/>
        <v>#N/A</v>
      </c>
    </row>
    <row r="198" spans="37:49" x14ac:dyDescent="0.25">
      <c r="AK198" s="306">
        <v>138</v>
      </c>
      <c r="AL198" s="305" t="str">
        <f t="shared" si="38"/>
        <v/>
      </c>
      <c r="AM198" s="379" t="e">
        <f t="shared" si="36"/>
        <v>#N/A</v>
      </c>
      <c r="AN198" s="379" t="e">
        <f t="shared" si="36"/>
        <v>#N/A</v>
      </c>
      <c r="AO198" s="379" t="e">
        <f t="shared" si="36"/>
        <v>#N/A</v>
      </c>
      <c r="AP198" s="378" t="e">
        <f t="shared" si="36"/>
        <v>#N/A</v>
      </c>
      <c r="AQ198" s="303" t="e">
        <f>NA()</f>
        <v>#N/A</v>
      </c>
      <c r="AR198" s="306"/>
      <c r="AS198" s="305"/>
      <c r="AT198" s="305"/>
      <c r="AU198" s="379" t="e">
        <f t="shared" si="39"/>
        <v>#N/A</v>
      </c>
      <c r="AV198" s="379" t="e">
        <f t="shared" si="37"/>
        <v>#N/A</v>
      </c>
      <c r="AW198" s="378" t="e">
        <f t="shared" si="37"/>
        <v>#N/A</v>
      </c>
    </row>
  </sheetData>
  <mergeCells count="12">
    <mergeCell ref="H7:L7"/>
    <mergeCell ref="H8:L8"/>
    <mergeCell ref="H9:L9"/>
    <mergeCell ref="H10:L10"/>
    <mergeCell ref="O8:O20"/>
    <mergeCell ref="Q8:Q20"/>
    <mergeCell ref="R8:R20"/>
    <mergeCell ref="O21:O26"/>
    <mergeCell ref="P21:P26"/>
    <mergeCell ref="Q21:Q26"/>
    <mergeCell ref="R21:R26"/>
    <mergeCell ref="P8:P20"/>
  </mergeCells>
  <conditionalFormatting sqref="L30">
    <cfRule type="cellIs" dxfId="7" priority="1" operator="equal">
      <formula>1</formula>
    </cfRule>
  </conditionalFormatting>
  <printOptions horizontalCentered="1" verticalCentered="1"/>
  <pageMargins left="0.7" right="0.7" top="0.75" bottom="0.75" header="0.3" footer="0.3"/>
  <pageSetup scale="90" orientation="portrait" r:id="rId1"/>
  <colBreaks count="1" manualBreakCount="1">
    <brk id="14" min="3" max="51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2:AW198"/>
  <sheetViews>
    <sheetView view="pageBreakPreview" zoomScale="60" zoomScaleNormal="100" workbookViewId="0">
      <selection activeCell="AH6" sqref="AH6"/>
    </sheetView>
  </sheetViews>
  <sheetFormatPr defaultColWidth="9.140625" defaultRowHeight="15" x14ac:dyDescent="0.25"/>
  <cols>
    <col min="1" max="3" width="9.140625" style="169"/>
    <col min="4" max="4" width="9.140625" style="169" customWidth="1"/>
    <col min="5" max="5" width="9.140625" style="169"/>
    <col min="6" max="14" width="9.85546875" style="169" customWidth="1"/>
    <col min="15" max="18" width="2.28515625" style="169" customWidth="1"/>
    <col min="19" max="16384" width="9.140625" style="169"/>
  </cols>
  <sheetData>
    <row r="2" spans="1:18" ht="21" x14ac:dyDescent="0.35">
      <c r="F2" s="301" t="s">
        <v>183</v>
      </c>
    </row>
    <row r="3" spans="1:18" x14ac:dyDescent="0.25">
      <c r="F3" s="169" t="s">
        <v>182</v>
      </c>
    </row>
    <row r="4" spans="1:18" x14ac:dyDescent="0.25">
      <c r="E4" s="213"/>
      <c r="F4" s="196"/>
      <c r="G4" s="196"/>
      <c r="H4" s="196"/>
      <c r="I4" s="196"/>
      <c r="J4" s="242" t="e">
        <f>#REF!</f>
        <v>#REF!</v>
      </c>
      <c r="K4" s="196"/>
      <c r="L4" s="196"/>
      <c r="M4" s="196"/>
      <c r="N4" s="195"/>
    </row>
    <row r="5" spans="1:18" x14ac:dyDescent="0.25">
      <c r="E5" s="174"/>
      <c r="J5" s="241" t="e">
        <f>#REF!</f>
        <v>#REF!</v>
      </c>
      <c r="N5" s="173"/>
    </row>
    <row r="6" spans="1:18" x14ac:dyDescent="0.25">
      <c r="E6" s="174"/>
      <c r="N6" s="173"/>
    </row>
    <row r="7" spans="1:18" x14ac:dyDescent="0.25">
      <c r="E7" s="174"/>
      <c r="F7" s="240"/>
      <c r="G7" s="239" t="e">
        <f>#REF!</f>
        <v>#REF!</v>
      </c>
      <c r="H7" s="878" t="e">
        <f>#REF!</f>
        <v>#REF!</v>
      </c>
      <c r="I7" s="878"/>
      <c r="J7" s="878"/>
      <c r="K7" s="878"/>
      <c r="L7" s="879"/>
      <c r="N7" s="173"/>
    </row>
    <row r="8" spans="1:18" ht="15" customHeight="1" x14ac:dyDescent="0.25">
      <c r="E8" s="174"/>
      <c r="F8" s="238"/>
      <c r="G8" s="237" t="e">
        <f>#REF!</f>
        <v>#REF!</v>
      </c>
      <c r="H8" s="880" t="e">
        <f>#REF!</f>
        <v>#REF!</v>
      </c>
      <c r="I8" s="880"/>
      <c r="J8" s="880"/>
      <c r="K8" s="880"/>
      <c r="L8" s="881"/>
      <c r="N8" s="173"/>
      <c r="O8" s="884" t="e">
        <f>#REF!</f>
        <v>#REF!</v>
      </c>
      <c r="P8" s="886" t="e">
        <f>#REF!</f>
        <v>#REF!</v>
      </c>
      <c r="Q8" s="886" t="e">
        <f>#REF!</f>
        <v>#REF!</v>
      </c>
      <c r="R8" s="888" t="e">
        <f>#REF!</f>
        <v>#REF!</v>
      </c>
    </row>
    <row r="9" spans="1:18" x14ac:dyDescent="0.25">
      <c r="E9" s="174"/>
      <c r="F9" s="238"/>
      <c r="G9" s="237" t="e">
        <f>#REF!</f>
        <v>#REF!</v>
      </c>
      <c r="H9" s="880" t="e">
        <f>#REF!</f>
        <v>#REF!</v>
      </c>
      <c r="I9" s="880"/>
      <c r="J9" s="880"/>
      <c r="K9" s="880"/>
      <c r="L9" s="881"/>
      <c r="N9" s="173"/>
      <c r="O9" s="885"/>
      <c r="P9" s="887"/>
      <c r="Q9" s="887"/>
      <c r="R9" s="889"/>
    </row>
    <row r="10" spans="1:18" x14ac:dyDescent="0.25">
      <c r="E10" s="174"/>
      <c r="F10" s="236"/>
      <c r="G10" s="235" t="e">
        <f>#REF!</f>
        <v>#REF!</v>
      </c>
      <c r="H10" s="882" t="e">
        <f>#REF!</f>
        <v>#REF!</v>
      </c>
      <c r="I10" s="882"/>
      <c r="J10" s="882"/>
      <c r="K10" s="882"/>
      <c r="L10" s="883"/>
      <c r="N10" s="173"/>
      <c r="O10" s="885"/>
      <c r="P10" s="887"/>
      <c r="Q10" s="887"/>
      <c r="R10" s="889"/>
    </row>
    <row r="11" spans="1:18" x14ac:dyDescent="0.25">
      <c r="E11" s="174"/>
      <c r="N11" s="173"/>
      <c r="O11" s="885"/>
      <c r="P11" s="887"/>
      <c r="Q11" s="887"/>
      <c r="R11" s="889"/>
    </row>
    <row r="12" spans="1:18" x14ac:dyDescent="0.25">
      <c r="E12" s="174"/>
      <c r="H12" s="234"/>
      <c r="I12" s="198"/>
      <c r="J12" s="300" t="e">
        <f>#REF!</f>
        <v>#REF!</v>
      </c>
      <c r="K12" s="243" t="e">
        <f>#REF!</f>
        <v>#REF!</v>
      </c>
      <c r="L12" s="233" t="e">
        <f>#REF!</f>
        <v>#REF!</v>
      </c>
      <c r="N12" s="173"/>
      <c r="O12" s="885"/>
      <c r="P12" s="887"/>
      <c r="Q12" s="887"/>
      <c r="R12" s="889"/>
    </row>
    <row r="13" spans="1:18" x14ac:dyDescent="0.25">
      <c r="E13" s="232"/>
      <c r="F13" s="213" t="e">
        <f>#REF!</f>
        <v>#REF!</v>
      </c>
      <c r="G13" s="196"/>
      <c r="H13" s="195"/>
      <c r="I13" s="213" t="e">
        <f>#REF!</f>
        <v>#REF!</v>
      </c>
      <c r="J13" s="213" t="e">
        <f>#REF!</f>
        <v>#REF!</v>
      </c>
      <c r="K13" s="195"/>
      <c r="L13" s="213" t="e">
        <f>#REF!</f>
        <v>#REF!</v>
      </c>
      <c r="M13" s="195"/>
      <c r="N13" s="278" t="e">
        <f>#REF!</f>
        <v>#REF!</v>
      </c>
      <c r="O13" s="885"/>
      <c r="P13" s="887"/>
      <c r="Q13" s="887"/>
      <c r="R13" s="889"/>
    </row>
    <row r="14" spans="1:18" x14ac:dyDescent="0.25">
      <c r="E14" s="231"/>
      <c r="F14" s="299" t="e">
        <f>#REF!</f>
        <v>#REF!</v>
      </c>
      <c r="G14" s="190" t="e">
        <f>#REF!</f>
        <v>#REF!</v>
      </c>
      <c r="H14" s="298" t="e">
        <f>#REF!</f>
        <v>#REF!</v>
      </c>
      <c r="I14" s="298" t="e">
        <f>#REF!</f>
        <v>#REF!</v>
      </c>
      <c r="J14" s="299" t="e">
        <f>#REF!</f>
        <v>#REF!</v>
      </c>
      <c r="K14" s="298" t="e">
        <f>#REF!</f>
        <v>#REF!</v>
      </c>
      <c r="L14" s="174" t="e">
        <f>#REF!</f>
        <v>#REF!</v>
      </c>
      <c r="M14" s="173"/>
      <c r="N14" s="297" t="e">
        <f>#REF!</f>
        <v>#REF!</v>
      </c>
      <c r="O14" s="885"/>
      <c r="P14" s="887"/>
      <c r="Q14" s="887"/>
      <c r="R14" s="889"/>
    </row>
    <row r="15" spans="1:18" x14ac:dyDescent="0.25">
      <c r="A15" s="213" t="s">
        <v>181</v>
      </c>
      <c r="B15" s="196"/>
      <c r="C15" s="195"/>
      <c r="E15" s="230" t="e">
        <f>#REF!</f>
        <v>#REF!</v>
      </c>
      <c r="F15" s="229" t="e">
        <f>#REF!</f>
        <v>#REF!</v>
      </c>
      <c r="G15" s="296" t="e">
        <f>#REF!</f>
        <v>#REF!</v>
      </c>
      <c r="H15" s="295" t="e">
        <f>#REF!</f>
        <v>#REF!</v>
      </c>
      <c r="I15" s="295" t="e">
        <f>#REF!</f>
        <v>#REF!</v>
      </c>
      <c r="J15" s="229" t="e">
        <f>#REF!</f>
        <v>#REF!</v>
      </c>
      <c r="K15" s="295" t="e">
        <f>#REF!</f>
        <v>#REF!</v>
      </c>
      <c r="L15" s="229" t="e">
        <f>#REF!</f>
        <v>#REF!</v>
      </c>
      <c r="M15" s="295" t="e">
        <f>#REF!</f>
        <v>#REF!</v>
      </c>
      <c r="N15" s="294" t="e">
        <f>#REF!</f>
        <v>#REF!</v>
      </c>
      <c r="O15" s="885"/>
      <c r="P15" s="887"/>
      <c r="Q15" s="887"/>
      <c r="R15" s="889"/>
    </row>
    <row r="16" spans="1:18" x14ac:dyDescent="0.25">
      <c r="A16" s="174">
        <v>0</v>
      </c>
      <c r="B16" s="169">
        <v>0</v>
      </c>
      <c r="C16" s="246">
        <f t="shared" ref="C16:C28" si="0">1-(A16+B16)/2/100</f>
        <v>1</v>
      </c>
      <c r="D16" s="249" t="e">
        <f>#REF!-#REF!</f>
        <v>#REF!</v>
      </c>
      <c r="E16" s="228" t="e">
        <f>#REF!</f>
        <v>#REF!</v>
      </c>
      <c r="F16" s="292" t="e">
        <f>#REF!</f>
        <v>#REF!</v>
      </c>
      <c r="G16" s="293" t="e">
        <f>#REF!</f>
        <v>#REF!</v>
      </c>
      <c r="H16" s="291" t="e">
        <f>#REF!</f>
        <v>#REF!</v>
      </c>
      <c r="I16" s="291" t="e">
        <f>#REF!</f>
        <v>#REF!</v>
      </c>
      <c r="J16" s="292" t="e">
        <f>#REF!</f>
        <v>#REF!</v>
      </c>
      <c r="K16" s="291" t="e">
        <f>#REF!</f>
        <v>#REF!</v>
      </c>
      <c r="L16" s="227" t="e">
        <f>#REF!</f>
        <v>#REF!</v>
      </c>
      <c r="M16" s="226" t="e">
        <f>#REF!</f>
        <v>#REF!</v>
      </c>
      <c r="N16" s="187" t="e">
        <f>#REF!</f>
        <v>#REF!</v>
      </c>
      <c r="O16" s="885"/>
      <c r="P16" s="887"/>
      <c r="Q16" s="887"/>
      <c r="R16" s="889"/>
    </row>
    <row r="17" spans="1:18" x14ac:dyDescent="0.25">
      <c r="A17" s="174">
        <v>0</v>
      </c>
      <c r="B17" s="169">
        <v>0</v>
      </c>
      <c r="C17" s="246">
        <f t="shared" si="0"/>
        <v>1</v>
      </c>
      <c r="D17" s="249" t="e">
        <f>#REF!-#REF!</f>
        <v>#REF!</v>
      </c>
      <c r="E17" s="225" t="e">
        <f>#REF!</f>
        <v>#REF!</v>
      </c>
      <c r="F17" s="289" t="e">
        <f>#REF!</f>
        <v>#REF!</v>
      </c>
      <c r="G17" s="290" t="e">
        <f>#REF!</f>
        <v>#REF!</v>
      </c>
      <c r="H17" s="288" t="e">
        <f>#REF!</f>
        <v>#REF!</v>
      </c>
      <c r="I17" s="288" t="e">
        <f>#REF!</f>
        <v>#REF!</v>
      </c>
      <c r="J17" s="289" t="e">
        <f>#REF!</f>
        <v>#REF!</v>
      </c>
      <c r="K17" s="288" t="e">
        <f>#REF!</f>
        <v>#REF!</v>
      </c>
      <c r="L17" s="220" t="e">
        <f>#REF!</f>
        <v>#REF!</v>
      </c>
      <c r="M17" s="219" t="e">
        <f>#REF!</f>
        <v>#REF!</v>
      </c>
      <c r="N17" s="178" t="e">
        <f>#REF!</f>
        <v>#REF!</v>
      </c>
      <c r="O17" s="885"/>
      <c r="P17" s="887"/>
      <c r="Q17" s="887"/>
      <c r="R17" s="889"/>
    </row>
    <row r="18" spans="1:18" x14ac:dyDescent="0.25">
      <c r="A18" s="174">
        <v>0</v>
      </c>
      <c r="B18" s="169">
        <v>0</v>
      </c>
      <c r="C18" s="246">
        <f t="shared" si="0"/>
        <v>1</v>
      </c>
      <c r="D18" s="249" t="e">
        <f>#REF!-#REF!</f>
        <v>#REF!</v>
      </c>
      <c r="E18" s="221" t="e">
        <f>#REF!</f>
        <v>#REF!</v>
      </c>
      <c r="F18" s="289" t="e">
        <f>#REF!</f>
        <v>#REF!</v>
      </c>
      <c r="G18" s="290" t="e">
        <f>#REF!</f>
        <v>#REF!</v>
      </c>
      <c r="H18" s="288" t="e">
        <f>#REF!</f>
        <v>#REF!</v>
      </c>
      <c r="I18" s="288" t="e">
        <f>#REF!</f>
        <v>#REF!</v>
      </c>
      <c r="J18" s="289" t="e">
        <f>#REF!</f>
        <v>#REF!</v>
      </c>
      <c r="K18" s="288" t="e">
        <f>#REF!</f>
        <v>#REF!</v>
      </c>
      <c r="L18" s="220" t="e">
        <f>#REF!</f>
        <v>#REF!</v>
      </c>
      <c r="M18" s="219" t="e">
        <f>#REF!</f>
        <v>#REF!</v>
      </c>
      <c r="N18" s="178" t="e">
        <f>#REF!</f>
        <v>#REF!</v>
      </c>
      <c r="O18" s="885"/>
      <c r="P18" s="887"/>
      <c r="Q18" s="887"/>
      <c r="R18" s="889"/>
    </row>
    <row r="19" spans="1:18" x14ac:dyDescent="0.25">
      <c r="A19" s="174">
        <v>0</v>
      </c>
      <c r="B19" s="169">
        <v>0</v>
      </c>
      <c r="C19" s="246">
        <f t="shared" si="0"/>
        <v>1</v>
      </c>
      <c r="D19" s="249" t="e">
        <f>#REF!-#REF!</f>
        <v>#REF!</v>
      </c>
      <c r="E19" s="224" t="e">
        <f>#REF!</f>
        <v>#REF!</v>
      </c>
      <c r="F19" s="289" t="e">
        <f>#REF!</f>
        <v>#REF!</v>
      </c>
      <c r="G19" s="290" t="e">
        <f>#REF!</f>
        <v>#REF!</v>
      </c>
      <c r="H19" s="288" t="e">
        <f>#REF!</f>
        <v>#REF!</v>
      </c>
      <c r="I19" s="288" t="e">
        <f>#REF!</f>
        <v>#REF!</v>
      </c>
      <c r="J19" s="289" t="e">
        <f>#REF!</f>
        <v>#REF!</v>
      </c>
      <c r="K19" s="288" t="e">
        <f>#REF!</f>
        <v>#REF!</v>
      </c>
      <c r="L19" s="220" t="e">
        <f>#REF!</f>
        <v>#REF!</v>
      </c>
      <c r="M19" s="219" t="e">
        <f>#REF!</f>
        <v>#REF!</v>
      </c>
      <c r="N19" s="178" t="e">
        <f>#REF!</f>
        <v>#REF!</v>
      </c>
      <c r="O19" s="885"/>
      <c r="P19" s="887"/>
      <c r="Q19" s="887"/>
      <c r="R19" s="889"/>
    </row>
    <row r="20" spans="1:18" x14ac:dyDescent="0.25">
      <c r="A20" s="174">
        <v>5</v>
      </c>
      <c r="B20" s="169">
        <v>15</v>
      </c>
      <c r="C20" s="246">
        <f t="shared" si="0"/>
        <v>0.9</v>
      </c>
      <c r="D20" s="249" t="e">
        <f>#REF!-#REF!</f>
        <v>#REF!</v>
      </c>
      <c r="E20" s="223" t="e">
        <f>#REF!</f>
        <v>#REF!</v>
      </c>
      <c r="F20" s="289" t="e">
        <f>#REF!</f>
        <v>#REF!</v>
      </c>
      <c r="G20" s="290" t="e">
        <f>#REF!</f>
        <v>#REF!</v>
      </c>
      <c r="H20" s="288" t="e">
        <f>#REF!</f>
        <v>#REF!</v>
      </c>
      <c r="I20" s="288" t="e">
        <f>#REF!</f>
        <v>#REF!</v>
      </c>
      <c r="J20" s="289" t="e">
        <f>#REF!</f>
        <v>#REF!</v>
      </c>
      <c r="K20" s="288" t="e">
        <f>#REF!</f>
        <v>#REF!</v>
      </c>
      <c r="L20" s="220" t="e">
        <f>#REF!</f>
        <v>#REF!</v>
      </c>
      <c r="M20" s="219" t="e">
        <f>#REF!</f>
        <v>#REF!</v>
      </c>
      <c r="N20" s="178" t="e">
        <f>#REF!</f>
        <v>#REF!</v>
      </c>
      <c r="O20" s="885"/>
      <c r="P20" s="887"/>
      <c r="Q20" s="887"/>
      <c r="R20" s="889"/>
    </row>
    <row r="21" spans="1:18" ht="15" customHeight="1" x14ac:dyDescent="0.25">
      <c r="A21" s="174">
        <v>19</v>
      </c>
      <c r="B21" s="169">
        <v>29</v>
      </c>
      <c r="C21" s="246">
        <f t="shared" si="0"/>
        <v>0.76</v>
      </c>
      <c r="D21" s="249" t="e">
        <f>#REF!-#REF!</f>
        <v>#REF!</v>
      </c>
      <c r="E21" s="222" t="e">
        <f>#REF!</f>
        <v>#REF!</v>
      </c>
      <c r="F21" s="289" t="e">
        <f>#REF!</f>
        <v>#REF!</v>
      </c>
      <c r="G21" s="290" t="e">
        <f>#REF!</f>
        <v>#REF!</v>
      </c>
      <c r="H21" s="288" t="e">
        <f>#REF!</f>
        <v>#REF!</v>
      </c>
      <c r="I21" s="288" t="e">
        <f>#REF!</f>
        <v>#REF!</v>
      </c>
      <c r="J21" s="289" t="e">
        <f>#REF!</f>
        <v>#REF!</v>
      </c>
      <c r="K21" s="288" t="e">
        <f>#REF!</f>
        <v>#REF!</v>
      </c>
      <c r="L21" s="220" t="e">
        <f>#REF!</f>
        <v>#REF!</v>
      </c>
      <c r="M21" s="219" t="e">
        <f>#REF!</f>
        <v>#REF!</v>
      </c>
      <c r="N21" s="178" t="e">
        <f>#REF!</f>
        <v>#REF!</v>
      </c>
      <c r="O21" s="890" t="e">
        <f>#REF!</f>
        <v>#REF!</v>
      </c>
      <c r="P21" s="892" t="e">
        <f>#REF!</f>
        <v>#REF!</v>
      </c>
      <c r="Q21" s="892" t="e">
        <f>#REF!</f>
        <v>#REF!</v>
      </c>
      <c r="R21" s="894" t="e">
        <f>#REF!</f>
        <v>#REF!</v>
      </c>
    </row>
    <row r="22" spans="1:18" x14ac:dyDescent="0.25">
      <c r="A22" s="174">
        <v>36</v>
      </c>
      <c r="B22" s="169">
        <v>46</v>
      </c>
      <c r="C22" s="246">
        <f t="shared" si="0"/>
        <v>0.59000000000000008</v>
      </c>
      <c r="D22" s="249" t="e">
        <f>#REF!-#REF!</f>
        <v>#REF!</v>
      </c>
      <c r="E22" s="221" t="e">
        <f>#REF!</f>
        <v>#REF!</v>
      </c>
      <c r="F22" s="289" t="e">
        <f>#REF!</f>
        <v>#REF!</v>
      </c>
      <c r="G22" s="290" t="e">
        <f>#REF!</f>
        <v>#REF!</v>
      </c>
      <c r="H22" s="288" t="e">
        <f>#REF!</f>
        <v>#REF!</v>
      </c>
      <c r="I22" s="288" t="e">
        <f>#REF!</f>
        <v>#REF!</v>
      </c>
      <c r="J22" s="289" t="e">
        <f>#REF!</f>
        <v>#REF!</v>
      </c>
      <c r="K22" s="288" t="e">
        <f>#REF!</f>
        <v>#REF!</v>
      </c>
      <c r="L22" s="220" t="e">
        <f>#REF!</f>
        <v>#REF!</v>
      </c>
      <c r="M22" s="219" t="e">
        <f>#REF!</f>
        <v>#REF!</v>
      </c>
      <c r="N22" s="178" t="e">
        <f>#REF!</f>
        <v>#REF!</v>
      </c>
      <c r="O22" s="890"/>
      <c r="P22" s="892"/>
      <c r="Q22" s="892"/>
      <c r="R22" s="894"/>
    </row>
    <row r="23" spans="1:18" x14ac:dyDescent="0.25">
      <c r="A23" s="174">
        <v>53</v>
      </c>
      <c r="B23" s="169">
        <v>63</v>
      </c>
      <c r="C23" s="246">
        <f t="shared" si="0"/>
        <v>0.42000000000000004</v>
      </c>
      <c r="D23" s="249" t="e">
        <f>#REF!-#REF!</f>
        <v>#REF!</v>
      </c>
      <c r="E23" s="221" t="e">
        <f>#REF!</f>
        <v>#REF!</v>
      </c>
      <c r="F23" s="289" t="e">
        <f>#REF!</f>
        <v>#REF!</v>
      </c>
      <c r="G23" s="290" t="e">
        <f>#REF!</f>
        <v>#REF!</v>
      </c>
      <c r="H23" s="288" t="e">
        <f>#REF!</f>
        <v>#REF!</v>
      </c>
      <c r="I23" s="288" t="e">
        <f>#REF!</f>
        <v>#REF!</v>
      </c>
      <c r="J23" s="289" t="e">
        <f>#REF!</f>
        <v>#REF!</v>
      </c>
      <c r="K23" s="288" t="e">
        <f>#REF!</f>
        <v>#REF!</v>
      </c>
      <c r="L23" s="220" t="e">
        <f>#REF!</f>
        <v>#REF!</v>
      </c>
      <c r="M23" s="219" t="e">
        <f>#REF!</f>
        <v>#REF!</v>
      </c>
      <c r="N23" s="178" t="e">
        <f>#REF!</f>
        <v>#REF!</v>
      </c>
      <c r="O23" s="890"/>
      <c r="P23" s="892"/>
      <c r="Q23" s="892"/>
      <c r="R23" s="894"/>
    </row>
    <row r="24" spans="1:18" x14ac:dyDescent="0.25">
      <c r="A24" s="174">
        <v>67</v>
      </c>
      <c r="B24" s="169">
        <v>77</v>
      </c>
      <c r="C24" s="246">
        <f t="shared" si="0"/>
        <v>0.28000000000000003</v>
      </c>
      <c r="D24" s="249" t="e">
        <f>#REF!-#REF!</f>
        <v>#REF!</v>
      </c>
      <c r="E24" s="221" t="e">
        <f>#REF!</f>
        <v>#REF!</v>
      </c>
      <c r="F24" s="289" t="e">
        <f>#REF!</f>
        <v>#REF!</v>
      </c>
      <c r="G24" s="290" t="e">
        <f>#REF!</f>
        <v>#REF!</v>
      </c>
      <c r="H24" s="288" t="e">
        <f>#REF!</f>
        <v>#REF!</v>
      </c>
      <c r="I24" s="288" t="e">
        <f>#REF!</f>
        <v>#REF!</v>
      </c>
      <c r="J24" s="289" t="e">
        <f>#REF!</f>
        <v>#REF!</v>
      </c>
      <c r="K24" s="288" t="e">
        <f>#REF!</f>
        <v>#REF!</v>
      </c>
      <c r="L24" s="220" t="e">
        <f>#REF!</f>
        <v>#REF!</v>
      </c>
      <c r="M24" s="219" t="e">
        <f>#REF!</f>
        <v>#REF!</v>
      </c>
      <c r="N24" s="178" t="e">
        <f>#REF!</f>
        <v>#REF!</v>
      </c>
      <c r="O24" s="890"/>
      <c r="P24" s="892"/>
      <c r="Q24" s="892"/>
      <c r="R24" s="894"/>
    </row>
    <row r="25" spans="1:18" x14ac:dyDescent="0.25">
      <c r="A25" s="174">
        <v>80</v>
      </c>
      <c r="B25" s="169">
        <v>88</v>
      </c>
      <c r="C25" s="246">
        <f t="shared" si="0"/>
        <v>0.16000000000000003</v>
      </c>
      <c r="D25" s="249" t="e">
        <f>#REF!-#REF!</f>
        <v>#REF!</v>
      </c>
      <c r="E25" s="221" t="e">
        <f>#REF!</f>
        <v>#REF!</v>
      </c>
      <c r="F25" s="289" t="e">
        <f>#REF!</f>
        <v>#REF!</v>
      </c>
      <c r="G25" s="290" t="e">
        <f>#REF!</f>
        <v>#REF!</v>
      </c>
      <c r="H25" s="288" t="e">
        <f>#REF!</f>
        <v>#REF!</v>
      </c>
      <c r="I25" s="288" t="e">
        <f>#REF!</f>
        <v>#REF!</v>
      </c>
      <c r="J25" s="289" t="e">
        <f>#REF!</f>
        <v>#REF!</v>
      </c>
      <c r="K25" s="288" t="e">
        <f>#REF!</f>
        <v>#REF!</v>
      </c>
      <c r="L25" s="220" t="e">
        <f>#REF!</f>
        <v>#REF!</v>
      </c>
      <c r="M25" s="219" t="e">
        <f>#REF!</f>
        <v>#REF!</v>
      </c>
      <c r="N25" s="178" t="e">
        <f>#REF!</f>
        <v>#REF!</v>
      </c>
      <c r="O25" s="890"/>
      <c r="P25" s="892"/>
      <c r="Q25" s="892"/>
      <c r="R25" s="894"/>
    </row>
    <row r="26" spans="1:18" x14ac:dyDescent="0.25">
      <c r="A26" s="174">
        <v>89</v>
      </c>
      <c r="B26" s="169">
        <v>97</v>
      </c>
      <c r="C26" s="246">
        <f t="shared" si="0"/>
        <v>6.9999999999999951E-2</v>
      </c>
      <c r="D26" s="249" t="e">
        <f>#REF!-#REF!</f>
        <v>#REF!</v>
      </c>
      <c r="E26" s="221" t="e">
        <f>#REF!</f>
        <v>#REF!</v>
      </c>
      <c r="F26" s="289" t="e">
        <f>#REF!</f>
        <v>#REF!</v>
      </c>
      <c r="G26" s="290" t="e">
        <f>#REF!</f>
        <v>#REF!</v>
      </c>
      <c r="H26" s="288" t="e">
        <f>#REF!</f>
        <v>#REF!</v>
      </c>
      <c r="I26" s="288" t="e">
        <f>#REF!</f>
        <v>#REF!</v>
      </c>
      <c r="J26" s="289" t="e">
        <f>#REF!</f>
        <v>#REF!</v>
      </c>
      <c r="K26" s="288" t="e">
        <f>#REF!</f>
        <v>#REF!</v>
      </c>
      <c r="L26" s="220" t="e">
        <f>#REF!</f>
        <v>#REF!</v>
      </c>
      <c r="M26" s="219" t="e">
        <f>#REF!</f>
        <v>#REF!</v>
      </c>
      <c r="N26" s="178" t="e">
        <f>#REF!</f>
        <v>#REF!</v>
      </c>
      <c r="O26" s="891"/>
      <c r="P26" s="893"/>
      <c r="Q26" s="893"/>
      <c r="R26" s="895"/>
    </row>
    <row r="27" spans="1:18" x14ac:dyDescent="0.25">
      <c r="A27" s="174">
        <v>95</v>
      </c>
      <c r="B27" s="169">
        <v>100</v>
      </c>
      <c r="C27" s="246">
        <f t="shared" si="0"/>
        <v>2.5000000000000022E-2</v>
      </c>
      <c r="D27" s="249" t="e">
        <f>#REF!-#REF!</f>
        <v>#REF!</v>
      </c>
      <c r="E27" s="221" t="e">
        <f>#REF!</f>
        <v>#REF!</v>
      </c>
      <c r="F27" s="289" t="e">
        <f>#REF!</f>
        <v>#REF!</v>
      </c>
      <c r="G27" s="290" t="e">
        <f>#REF!</f>
        <v>#REF!</v>
      </c>
      <c r="H27" s="288" t="e">
        <f>#REF!</f>
        <v>#REF!</v>
      </c>
      <c r="I27" s="288" t="e">
        <f>#REF!</f>
        <v>#REF!</v>
      </c>
      <c r="J27" s="289" t="e">
        <f>#REF!</f>
        <v>#REF!</v>
      </c>
      <c r="K27" s="288" t="e">
        <f>#REF!</f>
        <v>#REF!</v>
      </c>
      <c r="L27" s="220" t="e">
        <f>#REF!</f>
        <v>#REF!</v>
      </c>
      <c r="M27" s="219" t="e">
        <f>#REF!</f>
        <v>#REF!</v>
      </c>
      <c r="N27" s="178" t="e">
        <f>#REF!</f>
        <v>#REF!</v>
      </c>
      <c r="O27" s="185"/>
      <c r="P27" s="185"/>
      <c r="Q27" s="185"/>
      <c r="R27" s="185"/>
    </row>
    <row r="28" spans="1:18" x14ac:dyDescent="0.25">
      <c r="A28" s="172">
        <v>98</v>
      </c>
      <c r="B28" s="171">
        <v>100</v>
      </c>
      <c r="C28" s="244">
        <f t="shared" si="0"/>
        <v>1.0000000000000009E-2</v>
      </c>
      <c r="D28" s="249" t="e">
        <f>#REF!-#REF!</f>
        <v>#REF!</v>
      </c>
      <c r="E28" s="221" t="e">
        <f>#REF!</f>
        <v>#REF!</v>
      </c>
      <c r="F28" s="289" t="e">
        <f>#REF!</f>
        <v>#REF!</v>
      </c>
      <c r="G28" s="290" t="e">
        <f>#REF!</f>
        <v>#REF!</v>
      </c>
      <c r="H28" s="288" t="e">
        <f>#REF!</f>
        <v>#REF!</v>
      </c>
      <c r="I28" s="288" t="e">
        <f>#REF!</f>
        <v>#REF!</v>
      </c>
      <c r="J28" s="289" t="e">
        <f>#REF!</f>
        <v>#REF!</v>
      </c>
      <c r="K28" s="288" t="e">
        <f>#REF!</f>
        <v>#REF!</v>
      </c>
      <c r="L28" s="220" t="e">
        <f>#REF!</f>
        <v>#REF!</v>
      </c>
      <c r="M28" s="219" t="e">
        <f>#REF!</f>
        <v>#REF!</v>
      </c>
      <c r="N28" s="178" t="e">
        <f>#REF!</f>
        <v>#REF!</v>
      </c>
      <c r="O28" s="185"/>
      <c r="P28" s="185"/>
      <c r="Q28" s="185"/>
      <c r="R28" s="185"/>
    </row>
    <row r="29" spans="1:18" x14ac:dyDescent="0.25">
      <c r="E29" s="218" t="e">
        <f>#REF!</f>
        <v>#REF!</v>
      </c>
      <c r="F29" s="286" t="e">
        <f>#REF!</f>
        <v>#REF!</v>
      </c>
      <c r="G29" s="287" t="e">
        <f>#REF!</f>
        <v>#REF!</v>
      </c>
      <c r="H29" s="285" t="e">
        <f>#REF!</f>
        <v>#REF!</v>
      </c>
      <c r="I29" s="285" t="e">
        <f>#REF!</f>
        <v>#REF!</v>
      </c>
      <c r="J29" s="286" t="e">
        <f>#REF!</f>
        <v>#REF!</v>
      </c>
      <c r="K29" s="285" t="e">
        <f>#REF!</f>
        <v>#REF!</v>
      </c>
      <c r="L29" s="217" t="e">
        <f>#REF!</f>
        <v>#REF!</v>
      </c>
      <c r="M29" s="216" t="e">
        <f>#REF!</f>
        <v>#REF!</v>
      </c>
      <c r="N29" s="175" t="e">
        <f>#REF!</f>
        <v>#REF!</v>
      </c>
      <c r="O29" s="185"/>
      <c r="P29" s="185"/>
      <c r="Q29" s="185"/>
      <c r="R29" s="185"/>
    </row>
    <row r="30" spans="1:18" x14ac:dyDescent="0.25">
      <c r="E30" s="215" t="e">
        <f>#REF!</f>
        <v>#REF!</v>
      </c>
      <c r="F30" s="283" t="e">
        <f>#REF!</f>
        <v>#REF!</v>
      </c>
      <c r="G30" s="284" t="e">
        <f>#REF!</f>
        <v>#REF!</v>
      </c>
      <c r="H30" s="282" t="e">
        <f>#REF!</f>
        <v>#REF!</v>
      </c>
      <c r="I30" s="282" t="e">
        <f>#REF!</f>
        <v>#REF!</v>
      </c>
      <c r="J30" s="283" t="e">
        <f>#REF!</f>
        <v>#REF!</v>
      </c>
      <c r="K30" s="282" t="e">
        <f>#REF!</f>
        <v>#REF!</v>
      </c>
      <c r="L30" s="214" t="e">
        <f>#REF!</f>
        <v>#REF!</v>
      </c>
      <c r="N30" s="173"/>
    </row>
    <row r="31" spans="1:18" x14ac:dyDescent="0.25">
      <c r="E31" s="174"/>
      <c r="G31" s="213"/>
      <c r="H31" s="196"/>
      <c r="I31" s="212" t="e">
        <f>#REF!</f>
        <v>#REF!</v>
      </c>
      <c r="J31" s="211" t="e">
        <f>#REF!</f>
        <v>#REF!</v>
      </c>
      <c r="K31" s="210" t="e">
        <f>#REF!</f>
        <v>#REF!</v>
      </c>
      <c r="L31" s="196"/>
      <c r="M31" s="196"/>
      <c r="N31" s="195"/>
    </row>
    <row r="32" spans="1:18" x14ac:dyDescent="0.25">
      <c r="E32" s="174"/>
      <c r="G32" s="209"/>
      <c r="H32" s="205"/>
      <c r="I32" s="208" t="e">
        <f>#REF!</f>
        <v>#REF!</v>
      </c>
      <c r="J32" s="207" t="e">
        <f>#REF!</f>
        <v>#REF!</v>
      </c>
      <c r="K32" s="206" t="e">
        <f>#REF!</f>
        <v>#REF!</v>
      </c>
      <c r="L32" s="205"/>
      <c r="M32" s="205"/>
      <c r="N32" s="204"/>
    </row>
    <row r="33" spans="5:49" ht="15.75" x14ac:dyDescent="0.25">
      <c r="E33" s="174"/>
      <c r="G33" s="203"/>
      <c r="H33" s="200"/>
      <c r="I33" s="200"/>
      <c r="J33" s="202" t="e">
        <f>#REF!</f>
        <v>#REF!</v>
      </c>
      <c r="K33" s="201" t="e">
        <f>#REF!</f>
        <v>#REF!</v>
      </c>
      <c r="L33" s="200"/>
      <c r="M33" s="200"/>
      <c r="N33" s="199"/>
      <c r="O33" s="281"/>
      <c r="P33" s="281"/>
      <c r="Q33" s="281"/>
      <c r="R33" s="281"/>
    </row>
    <row r="34" spans="5:49" x14ac:dyDescent="0.25">
      <c r="E34" s="174"/>
      <c r="N34" s="173"/>
    </row>
    <row r="35" spans="5:49" x14ac:dyDescent="0.25">
      <c r="E35" s="174"/>
      <c r="J35" s="197" t="e">
        <f>#REF!</f>
        <v>#REF!</v>
      </c>
      <c r="K35" s="196"/>
      <c r="L35" s="196"/>
      <c r="M35" s="195"/>
      <c r="N35" s="173"/>
    </row>
    <row r="36" spans="5:49" x14ac:dyDescent="0.25">
      <c r="E36" s="174"/>
      <c r="J36" s="172"/>
      <c r="K36" s="171"/>
      <c r="L36" s="194" t="e">
        <f>#REF!</f>
        <v>#REF!</v>
      </c>
      <c r="M36" s="193" t="e">
        <f>#REF!</f>
        <v>#REF!</v>
      </c>
      <c r="N36" s="173"/>
    </row>
    <row r="37" spans="5:49" x14ac:dyDescent="0.25">
      <c r="E37" s="174"/>
      <c r="J37" s="280" t="e">
        <f>#REF!</f>
        <v>#REF!</v>
      </c>
      <c r="K37" s="192" t="e">
        <f>#REF!</f>
        <v>#REF!</v>
      </c>
      <c r="L37" s="191" t="e">
        <f>#REF!</f>
        <v>#REF!</v>
      </c>
      <c r="M37" s="280" t="e">
        <f>#REF!</f>
        <v>#REF!</v>
      </c>
      <c r="N37" s="173"/>
      <c r="U37" s="190"/>
      <c r="V37" s="190"/>
    </row>
    <row r="38" spans="5:49" x14ac:dyDescent="0.25">
      <c r="E38" s="174"/>
      <c r="J38" s="189" t="e">
        <f>#REF!</f>
        <v>#REF!</v>
      </c>
      <c r="K38" s="188" t="e">
        <f>#REF!</f>
        <v>#REF!</v>
      </c>
      <c r="L38" s="187" t="e">
        <f>#REF!</f>
        <v>#REF!</v>
      </c>
      <c r="M38" s="187" t="e">
        <f>#REF!</f>
        <v>#REF!</v>
      </c>
      <c r="N38" s="173"/>
      <c r="T38" s="184"/>
      <c r="U38" s="261"/>
      <c r="V38" s="261"/>
      <c r="AE38" s="213"/>
      <c r="AF38" s="279" t="s">
        <v>180</v>
      </c>
      <c r="AG38" s="278" t="str">
        <f>VLOOKUP(MAX(AE43:AE56),AD43:AH56,4)</f>
        <v>Pan</v>
      </c>
      <c r="AO38" s="213" t="s">
        <v>179</v>
      </c>
      <c r="AP38" s="195" t="e">
        <f>1/AG39</f>
        <v>#DIV/0!</v>
      </c>
      <c r="AR38" s="213"/>
      <c r="AS38" s="196"/>
      <c r="AT38" s="196"/>
      <c r="AU38" s="196"/>
      <c r="AV38" s="213" t="s">
        <v>179</v>
      </c>
      <c r="AW38" s="195" t="e">
        <f>SLOPE(AT43:AT56,AR43:AR56)</f>
        <v>#REF!</v>
      </c>
    </row>
    <row r="39" spans="5:49" x14ac:dyDescent="0.25">
      <c r="E39" s="174"/>
      <c r="J39" s="186" t="e">
        <f>#REF!</f>
        <v>#REF!</v>
      </c>
      <c r="K39" s="179" t="e">
        <f>#REF!</f>
        <v>#REF!</v>
      </c>
      <c r="L39" s="178" t="e">
        <f>#REF!</f>
        <v>#REF!</v>
      </c>
      <c r="M39" s="178" t="e">
        <f>#REF!</f>
        <v>#REF!</v>
      </c>
      <c r="N39" s="173"/>
      <c r="T39" s="184"/>
      <c r="U39" s="261"/>
      <c r="V39" s="261"/>
      <c r="AE39" s="172"/>
      <c r="AF39" s="277" t="s">
        <v>164</v>
      </c>
      <c r="AG39" s="276">
        <f>VLOOKUP(MAX(AE43:AE56),AD43:AH56,5)</f>
        <v>0</v>
      </c>
      <c r="AO39" s="174" t="s">
        <v>178</v>
      </c>
      <c r="AP39" s="173">
        <v>0</v>
      </c>
      <c r="AR39" s="174"/>
      <c r="AV39" s="174" t="s">
        <v>178</v>
      </c>
      <c r="AW39" s="173" t="e">
        <f>INTERCEPT(AT43:AT56,AR43:AR56)</f>
        <v>#REF!</v>
      </c>
    </row>
    <row r="40" spans="5:49" x14ac:dyDescent="0.25">
      <c r="E40" s="174"/>
      <c r="J40" s="180" t="e">
        <f>#REF!</f>
        <v>#REF!</v>
      </c>
      <c r="K40" s="179" t="e">
        <f>#REF!</f>
        <v>#REF!</v>
      </c>
      <c r="L40" s="178" t="e">
        <f>#REF!</f>
        <v>#REF!</v>
      </c>
      <c r="M40" s="178" t="e">
        <f>#REF!</f>
        <v>#REF!</v>
      </c>
      <c r="N40" s="173"/>
      <c r="T40" s="184"/>
      <c r="AF40" s="169" t="str">
        <f>"Nominal Maximum Size = "&amp;AG38</f>
        <v>Nominal Maximum Size = Pan</v>
      </c>
      <c r="AO40" s="172" t="s">
        <v>176</v>
      </c>
      <c r="AP40" s="254">
        <v>7.0000000000000007E-2</v>
      </c>
      <c r="AR40" s="275" t="s">
        <v>177</v>
      </c>
      <c r="AV40" s="172" t="s">
        <v>176</v>
      </c>
      <c r="AW40" s="244">
        <v>7.0000000000000007E-2</v>
      </c>
    </row>
    <row r="41" spans="5:49" x14ac:dyDescent="0.25">
      <c r="E41" s="174"/>
      <c r="J41" s="183" t="e">
        <f>#REF!</f>
        <v>#REF!</v>
      </c>
      <c r="K41" s="179" t="e">
        <f>#REF!</f>
        <v>#REF!</v>
      </c>
      <c r="L41" s="178" t="e">
        <f>#REF!</f>
        <v>#REF!</v>
      </c>
      <c r="M41" s="178" t="e">
        <f>#REF!</f>
        <v>#REF!</v>
      </c>
      <c r="N41" s="173"/>
      <c r="AD41" s="234" t="s">
        <v>175</v>
      </c>
      <c r="AE41" s="198"/>
      <c r="AF41" s="198"/>
      <c r="AG41" s="198"/>
      <c r="AH41" s="233"/>
      <c r="AK41" s="274">
        <v>1</v>
      </c>
      <c r="AR41" s="174"/>
      <c r="AW41" s="173"/>
    </row>
    <row r="42" spans="5:49" x14ac:dyDescent="0.25">
      <c r="E42" s="174"/>
      <c r="J42" s="182" t="e">
        <f>#REF!</f>
        <v>#REF!</v>
      </c>
      <c r="K42" s="179" t="e">
        <f>#REF!</f>
        <v>#REF!</v>
      </c>
      <c r="L42" s="178" t="e">
        <f>#REF!</f>
        <v>#REF!</v>
      </c>
      <c r="M42" s="178" t="e">
        <f>#REF!</f>
        <v>#REF!</v>
      </c>
      <c r="N42" s="173"/>
      <c r="AD42" s="172" t="s">
        <v>174</v>
      </c>
      <c r="AE42" s="171" t="s">
        <v>173</v>
      </c>
      <c r="AF42" s="252" t="e">
        <f>AM42</f>
        <v>#REF!</v>
      </c>
      <c r="AG42" s="252" t="str">
        <f>AL42</f>
        <v>Mesh</v>
      </c>
      <c r="AH42" s="273" t="s">
        <v>164</v>
      </c>
      <c r="AK42" s="213"/>
      <c r="AL42" s="196" t="str">
        <f>AD59</f>
        <v>Mesh</v>
      </c>
      <c r="AM42" s="272" t="e">
        <f>#REF!</f>
        <v>#REF!</v>
      </c>
      <c r="AN42" s="196" t="s">
        <v>172</v>
      </c>
      <c r="AO42" s="196" t="s">
        <v>155</v>
      </c>
      <c r="AP42" s="195" t="s">
        <v>154</v>
      </c>
      <c r="AQ42" s="169" t="s">
        <v>82</v>
      </c>
      <c r="AR42" s="174">
        <f>ROUND((AG39-$AH$74)*$AK$41,0)</f>
        <v>0</v>
      </c>
      <c r="AS42" s="196" t="str">
        <f>AD59</f>
        <v>Mesh</v>
      </c>
      <c r="AT42" s="272" t="e">
        <f>#REF!</f>
        <v>#REF!</v>
      </c>
      <c r="AU42" s="196" t="s">
        <v>171</v>
      </c>
      <c r="AV42" s="196" t="s">
        <v>155</v>
      </c>
      <c r="AW42" s="195" t="s">
        <v>154</v>
      </c>
    </row>
    <row r="43" spans="5:49" x14ac:dyDescent="0.25">
      <c r="E43" s="174"/>
      <c r="J43" s="181" t="e">
        <f>#REF!</f>
        <v>#REF!</v>
      </c>
      <c r="K43" s="179" t="e">
        <f>#REF!</f>
        <v>#REF!</v>
      </c>
      <c r="L43" s="178" t="e">
        <f>#REF!</f>
        <v>#REF!</v>
      </c>
      <c r="M43" s="178" t="e">
        <f>#REF!</f>
        <v>#REF!</v>
      </c>
      <c r="N43" s="173"/>
      <c r="AD43" s="213">
        <v>1</v>
      </c>
      <c r="AE43" s="196">
        <v>1</v>
      </c>
      <c r="AF43" s="271" t="e">
        <f>AM56</f>
        <v>#REF!</v>
      </c>
      <c r="AG43" s="271" t="str">
        <f>AL56</f>
        <v>Pan</v>
      </c>
      <c r="AH43" s="270">
        <f>AH74</f>
        <v>0</v>
      </c>
      <c r="AK43" s="174">
        <f t="shared" ref="AK43:AK56" si="1">ROUND((AH61-$AH$74)*$AK$41,0)</f>
        <v>131</v>
      </c>
      <c r="AL43" s="169" t="str">
        <f t="shared" ref="AL43:AL56" si="2">AD61</f>
        <v>2 in.</v>
      </c>
      <c r="AM43" s="185" t="e">
        <f>IF(#REF!=1,NA(),#REF!)</f>
        <v>#REF!</v>
      </c>
      <c r="AN43" s="185" t="e">
        <f t="shared" ref="AN43:AN55" si="3">IF(AL43=$AG$38,1,NA())</f>
        <v>#N/A</v>
      </c>
      <c r="AO43" s="185" t="e">
        <f>AP38*AK43-AP40</f>
        <v>#DIV/0!</v>
      </c>
      <c r="AP43" s="266" t="e">
        <f>AP38*AK43+AP40</f>
        <v>#DIV/0!</v>
      </c>
      <c r="AR43" s="174" t="str">
        <f t="shared" ref="AR43:AR56" si="4">IF(AK43&gt;$AR$42,"",AK43)</f>
        <v/>
      </c>
      <c r="AT43" s="185" t="str">
        <f t="shared" ref="AT43:AT56" si="5">IF(AK43&gt;$AR$42,"",AM43)</f>
        <v/>
      </c>
      <c r="AU43" s="185" t="e">
        <f>AK43*$AW$38+$AW$39</f>
        <v>#REF!</v>
      </c>
      <c r="AV43" s="185" t="e">
        <f>AU43-$AW$40</f>
        <v>#REF!</v>
      </c>
      <c r="AW43" s="266" t="str">
        <f t="shared" ref="AW43:AW56" si="6">IF(ISNUMBER(AU43),AU43+$AW$40,"")</f>
        <v/>
      </c>
    </row>
    <row r="44" spans="5:49" x14ac:dyDescent="0.25">
      <c r="E44" s="174"/>
      <c r="J44" s="180" t="e">
        <f>#REF!</f>
        <v>#REF!</v>
      </c>
      <c r="K44" s="179" t="e">
        <f>#REF!</f>
        <v>#REF!</v>
      </c>
      <c r="L44" s="178" t="e">
        <f>#REF!</f>
        <v>#REF!</v>
      </c>
      <c r="M44" s="178" t="e">
        <f>#REF!</f>
        <v>#REF!</v>
      </c>
      <c r="N44" s="173"/>
      <c r="AD44" s="174">
        <v>2</v>
      </c>
      <c r="AE44" s="169">
        <f t="shared" ref="AE44:AE56" si="7">IF(ISNUMBER(AF44),IF(AF43&lt;=0.9,AE43+1,0),0)</f>
        <v>0</v>
      </c>
      <c r="AF44" s="249" t="e">
        <f>AM55</f>
        <v>#REF!</v>
      </c>
      <c r="AG44" s="249" t="str">
        <f>AL55</f>
        <v>No. 200</v>
      </c>
      <c r="AH44" s="269">
        <f>AH73</f>
        <v>6.9367217454368229</v>
      </c>
      <c r="AK44" s="174">
        <f t="shared" si="1"/>
        <v>115</v>
      </c>
      <c r="AL44" s="169" t="str">
        <f t="shared" si="2"/>
        <v>1 1/2 in.</v>
      </c>
      <c r="AM44" s="185" t="e">
        <f>IF(#REF!=1,NA(),#REF!)</f>
        <v>#REF!</v>
      </c>
      <c r="AN44" s="185" t="e">
        <f t="shared" si="3"/>
        <v>#N/A</v>
      </c>
      <c r="AO44" s="185" t="e">
        <f t="shared" ref="AO44:AO56" si="8">IF(ISNA(AN44),NA(),AN44-$AP$40)</f>
        <v>#N/A</v>
      </c>
      <c r="AP44" s="266" t="e">
        <f t="shared" ref="AP44:AP56" si="9">IF(ISNA(AN44),NA(),AN44+$AP$40)</f>
        <v>#N/A</v>
      </c>
      <c r="AR44" s="174" t="str">
        <f t="shared" si="4"/>
        <v/>
      </c>
      <c r="AT44" s="185" t="str">
        <f t="shared" si="5"/>
        <v/>
      </c>
      <c r="AU44" s="185" t="e">
        <f>AK44*$AW$38+$AW$39</f>
        <v>#REF!</v>
      </c>
      <c r="AV44" s="185" t="e">
        <f>AU44-$AW$40</f>
        <v>#REF!</v>
      </c>
      <c r="AW44" s="266" t="str">
        <f t="shared" si="6"/>
        <v/>
      </c>
    </row>
    <row r="45" spans="5:49" x14ac:dyDescent="0.25">
      <c r="E45" s="174"/>
      <c r="J45" s="180" t="e">
        <f>#REF!</f>
        <v>#REF!</v>
      </c>
      <c r="K45" s="179" t="e">
        <f>#REF!</f>
        <v>#REF!</v>
      </c>
      <c r="L45" s="178" t="e">
        <f>#REF!</f>
        <v>#REF!</v>
      </c>
      <c r="M45" s="178" t="e">
        <f>#REF!</f>
        <v>#REF!</v>
      </c>
      <c r="N45" s="173"/>
      <c r="AD45" s="174">
        <v>3</v>
      </c>
      <c r="AE45" s="169">
        <f t="shared" si="7"/>
        <v>0</v>
      </c>
      <c r="AF45" s="249" t="e">
        <f>AM54</f>
        <v>#REF!</v>
      </c>
      <c r="AG45" s="249" t="str">
        <f>AL54</f>
        <v>No. 100</v>
      </c>
      <c r="AH45" s="269">
        <f>AH72</f>
        <v>9.5045994842303667</v>
      </c>
      <c r="AK45" s="174">
        <f t="shared" si="1"/>
        <v>96</v>
      </c>
      <c r="AL45" s="169" t="str">
        <f t="shared" si="2"/>
        <v>1 in.</v>
      </c>
      <c r="AM45" s="185" t="e">
        <f>IF(#REF!=1,NA(),#REF!)</f>
        <v>#REF!</v>
      </c>
      <c r="AN45" s="185" t="e">
        <f t="shared" si="3"/>
        <v>#N/A</v>
      </c>
      <c r="AO45" s="185" t="e">
        <f t="shared" si="8"/>
        <v>#N/A</v>
      </c>
      <c r="AP45" s="266" t="e">
        <f t="shared" si="9"/>
        <v>#N/A</v>
      </c>
      <c r="AR45" s="174" t="str">
        <f t="shared" si="4"/>
        <v/>
      </c>
      <c r="AT45" s="185" t="str">
        <f t="shared" si="5"/>
        <v/>
      </c>
      <c r="AU45" s="185" t="e">
        <f>AK45*$AW$38+$AW$39</f>
        <v>#REF!</v>
      </c>
      <c r="AV45" s="185" t="e">
        <f>AU45-$AW$40</f>
        <v>#REF!</v>
      </c>
      <c r="AW45" s="266" t="str">
        <f t="shared" si="6"/>
        <v/>
      </c>
    </row>
    <row r="46" spans="5:49" x14ac:dyDescent="0.25">
      <c r="E46" s="174"/>
      <c r="J46" s="180" t="e">
        <f>#REF!</f>
        <v>#REF!</v>
      </c>
      <c r="K46" s="179" t="e">
        <f>#REF!</f>
        <v>#REF!</v>
      </c>
      <c r="L46" s="178" t="e">
        <f>#REF!</f>
        <v>#REF!</v>
      </c>
      <c r="M46" s="178" t="e">
        <f>#REF!</f>
        <v>#REF!</v>
      </c>
      <c r="N46" s="173"/>
      <c r="AD46" s="174">
        <v>4</v>
      </c>
      <c r="AE46" s="169">
        <f t="shared" si="7"/>
        <v>0</v>
      </c>
      <c r="AF46" s="249" t="e">
        <f>AM53</f>
        <v>#REF!</v>
      </c>
      <c r="AG46" s="249" t="str">
        <f>AL53</f>
        <v>No. 50</v>
      </c>
      <c r="AH46" s="269">
        <f>AH71</f>
        <v>12.964041189051768</v>
      </c>
      <c r="AK46" s="174">
        <f t="shared" si="1"/>
        <v>84</v>
      </c>
      <c r="AL46" s="169" t="str">
        <f t="shared" si="2"/>
        <v>3/4 in.</v>
      </c>
      <c r="AM46" s="185" t="e">
        <f>IF(#REF!=1,NA(),#REF!)</f>
        <v>#REF!</v>
      </c>
      <c r="AN46" s="185" t="e">
        <f t="shared" si="3"/>
        <v>#N/A</v>
      </c>
      <c r="AO46" s="185" t="e">
        <f t="shared" si="8"/>
        <v>#N/A</v>
      </c>
      <c r="AP46" s="266" t="e">
        <f t="shared" si="9"/>
        <v>#N/A</v>
      </c>
      <c r="AR46" s="174" t="str">
        <f t="shared" si="4"/>
        <v/>
      </c>
      <c r="AT46" s="185" t="str">
        <f t="shared" si="5"/>
        <v/>
      </c>
      <c r="AU46" s="185" t="e">
        <f>AK46*$AW$38+$AW$39</f>
        <v>#REF!</v>
      </c>
      <c r="AV46" s="185" t="e">
        <f>AU46-$AW$40</f>
        <v>#REF!</v>
      </c>
      <c r="AW46" s="266" t="str">
        <f t="shared" si="6"/>
        <v/>
      </c>
    </row>
    <row r="47" spans="5:49" x14ac:dyDescent="0.25">
      <c r="E47" s="174"/>
      <c r="J47" s="180" t="e">
        <f>#REF!</f>
        <v>#REF!</v>
      </c>
      <c r="K47" s="179" t="e">
        <f>#REF!</f>
        <v>#REF!</v>
      </c>
      <c r="L47" s="178" t="e">
        <f>#REF!</f>
        <v>#REF!</v>
      </c>
      <c r="M47" s="178" t="e">
        <f>#REF!</f>
        <v>#REF!</v>
      </c>
      <c r="N47" s="173"/>
      <c r="AD47" s="174">
        <v>5</v>
      </c>
      <c r="AE47" s="169">
        <f t="shared" si="7"/>
        <v>0</v>
      </c>
      <c r="AF47" s="249" t="e">
        <f>AM52</f>
        <v>#REF!</v>
      </c>
      <c r="AG47" s="249" t="str">
        <f>AL52</f>
        <v>No. 30</v>
      </c>
      <c r="AH47" s="269">
        <f>AH70</f>
        <v>17.722812162406921</v>
      </c>
      <c r="AK47" s="174">
        <f t="shared" si="1"/>
        <v>70</v>
      </c>
      <c r="AL47" s="169" t="str">
        <f t="shared" si="2"/>
        <v>1/2 in.</v>
      </c>
      <c r="AM47" s="185" t="e">
        <f>IF(#REF!=1,NA(),#REF!)</f>
        <v>#REF!</v>
      </c>
      <c r="AN47" s="185" t="e">
        <f t="shared" si="3"/>
        <v>#N/A</v>
      </c>
      <c r="AO47" s="185" t="e">
        <f t="shared" si="8"/>
        <v>#N/A</v>
      </c>
      <c r="AP47" s="266" t="e">
        <f t="shared" si="9"/>
        <v>#N/A</v>
      </c>
      <c r="AR47" s="174" t="str">
        <f t="shared" si="4"/>
        <v/>
      </c>
      <c r="AT47" s="185" t="str">
        <f t="shared" si="5"/>
        <v/>
      </c>
      <c r="AU47" s="185" t="e">
        <f t="shared" ref="AU47:AU56" si="10">AR47*$AW$38+$AW$39</f>
        <v>#VALUE!</v>
      </c>
      <c r="AV47" s="185" t="str">
        <f t="shared" ref="AV47:AV56" si="11">IF(ISNUMBER(AU47),AU47-$AW$40,"")</f>
        <v/>
      </c>
      <c r="AW47" s="266" t="str">
        <f t="shared" si="6"/>
        <v/>
      </c>
    </row>
    <row r="48" spans="5:49" x14ac:dyDescent="0.25">
      <c r="E48" s="174"/>
      <c r="J48" s="180" t="e">
        <f>#REF!</f>
        <v>#REF!</v>
      </c>
      <c r="K48" s="179" t="e">
        <f>#REF!</f>
        <v>#REF!</v>
      </c>
      <c r="L48" s="178" t="e">
        <f>#REF!</f>
        <v>#REF!</v>
      </c>
      <c r="M48" s="178" t="e">
        <f>#REF!</f>
        <v>#REF!</v>
      </c>
      <c r="N48" s="173"/>
      <c r="AD48" s="174">
        <v>6</v>
      </c>
      <c r="AE48" s="169">
        <f t="shared" si="7"/>
        <v>0</v>
      </c>
      <c r="AF48" s="249" t="e">
        <f>AM51</f>
        <v>#REF!</v>
      </c>
      <c r="AG48" s="249" t="str">
        <f>AL51</f>
        <v>No. 16</v>
      </c>
      <c r="AH48" s="269">
        <f>AH69</f>
        <v>24.210074876744265</v>
      </c>
      <c r="AK48" s="174">
        <f t="shared" si="1"/>
        <v>62</v>
      </c>
      <c r="AL48" s="169" t="str">
        <f t="shared" si="2"/>
        <v>3/8 in.</v>
      </c>
      <c r="AM48" s="185" t="e">
        <f>IF(#REF!=1,NA(),#REF!)</f>
        <v>#REF!</v>
      </c>
      <c r="AN48" s="185" t="e">
        <f t="shared" si="3"/>
        <v>#N/A</v>
      </c>
      <c r="AO48" s="185" t="e">
        <f t="shared" si="8"/>
        <v>#N/A</v>
      </c>
      <c r="AP48" s="266" t="e">
        <f t="shared" si="9"/>
        <v>#N/A</v>
      </c>
      <c r="AR48" s="174" t="str">
        <f t="shared" si="4"/>
        <v/>
      </c>
      <c r="AT48" s="185" t="str">
        <f t="shared" si="5"/>
        <v/>
      </c>
      <c r="AU48" s="185" t="e">
        <f t="shared" si="10"/>
        <v>#VALUE!</v>
      </c>
      <c r="AV48" s="185" t="str">
        <f t="shared" si="11"/>
        <v/>
      </c>
      <c r="AW48" s="266" t="str">
        <f t="shared" si="6"/>
        <v/>
      </c>
    </row>
    <row r="49" spans="5:49" x14ac:dyDescent="0.25">
      <c r="E49" s="174"/>
      <c r="J49" s="180" t="e">
        <f>#REF!</f>
        <v>#REF!</v>
      </c>
      <c r="K49" s="179" t="e">
        <f>#REF!</f>
        <v>#REF!</v>
      </c>
      <c r="L49" s="178" t="e">
        <f>#REF!</f>
        <v>#REF!</v>
      </c>
      <c r="M49" s="178" t="e">
        <f>#REF!</f>
        <v>#REF!</v>
      </c>
      <c r="N49" s="173"/>
      <c r="AD49" s="174">
        <v>7</v>
      </c>
      <c r="AE49" s="169">
        <f t="shared" si="7"/>
        <v>0</v>
      </c>
      <c r="AF49" s="249" t="e">
        <f>AM50</f>
        <v>#REF!</v>
      </c>
      <c r="AG49" s="249" t="str">
        <f>AL50</f>
        <v>No. 8</v>
      </c>
      <c r="AH49" s="269">
        <f>AH68</f>
        <v>33.071936900670877</v>
      </c>
      <c r="AK49" s="174">
        <f t="shared" si="1"/>
        <v>45</v>
      </c>
      <c r="AL49" s="169" t="str">
        <f t="shared" si="2"/>
        <v>No. 4</v>
      </c>
      <c r="AM49" s="185" t="e">
        <f>IF(#REF!=1,NA(),#REF!)</f>
        <v>#REF!</v>
      </c>
      <c r="AN49" s="185" t="e">
        <f t="shared" si="3"/>
        <v>#N/A</v>
      </c>
      <c r="AO49" s="185" t="e">
        <f t="shared" si="8"/>
        <v>#N/A</v>
      </c>
      <c r="AP49" s="266" t="e">
        <f t="shared" si="9"/>
        <v>#N/A</v>
      </c>
      <c r="AR49" s="174" t="str">
        <f t="shared" si="4"/>
        <v/>
      </c>
      <c r="AT49" s="185" t="str">
        <f t="shared" si="5"/>
        <v/>
      </c>
      <c r="AU49" s="185" t="e">
        <f t="shared" si="10"/>
        <v>#VALUE!</v>
      </c>
      <c r="AV49" s="185" t="str">
        <f t="shared" si="11"/>
        <v/>
      </c>
      <c r="AW49" s="266" t="str">
        <f t="shared" si="6"/>
        <v/>
      </c>
    </row>
    <row r="50" spans="5:49" x14ac:dyDescent="0.25">
      <c r="E50" s="174"/>
      <c r="J50" s="180" t="e">
        <f>#REF!</f>
        <v>#REF!</v>
      </c>
      <c r="K50" s="179" t="e">
        <f>#REF!</f>
        <v>#REF!</v>
      </c>
      <c r="L50" s="178" t="e">
        <f>#REF!</f>
        <v>#REF!</v>
      </c>
      <c r="M50" s="178" t="e">
        <f>#REF!</f>
        <v>#REF!</v>
      </c>
      <c r="N50" s="173"/>
      <c r="AD50" s="174">
        <v>8</v>
      </c>
      <c r="AE50" s="169">
        <f t="shared" si="7"/>
        <v>0</v>
      </c>
      <c r="AF50" s="249" t="e">
        <f>AM49</f>
        <v>#REF!</v>
      </c>
      <c r="AG50" s="249" t="str">
        <f>AL49</f>
        <v>No. 4</v>
      </c>
      <c r="AH50" s="269">
        <f>AH67</f>
        <v>45.177597175157636</v>
      </c>
      <c r="AK50" s="174">
        <f t="shared" si="1"/>
        <v>33</v>
      </c>
      <c r="AL50" s="169" t="str">
        <f t="shared" si="2"/>
        <v>No. 8</v>
      </c>
      <c r="AM50" s="185" t="e">
        <f>IF(#REF!=1,NA(),#REF!)</f>
        <v>#REF!</v>
      </c>
      <c r="AN50" s="185" t="e">
        <f t="shared" si="3"/>
        <v>#N/A</v>
      </c>
      <c r="AO50" s="185" t="e">
        <f t="shared" si="8"/>
        <v>#N/A</v>
      </c>
      <c r="AP50" s="266" t="e">
        <f t="shared" si="9"/>
        <v>#N/A</v>
      </c>
      <c r="AR50" s="174" t="str">
        <f t="shared" si="4"/>
        <v/>
      </c>
      <c r="AT50" s="185" t="str">
        <f t="shared" si="5"/>
        <v/>
      </c>
      <c r="AU50" s="185" t="e">
        <f t="shared" si="10"/>
        <v>#VALUE!</v>
      </c>
      <c r="AV50" s="185" t="str">
        <f t="shared" si="11"/>
        <v/>
      </c>
      <c r="AW50" s="266" t="str">
        <f t="shared" si="6"/>
        <v/>
      </c>
    </row>
    <row r="51" spans="5:49" x14ac:dyDescent="0.25">
      <c r="E51" s="174"/>
      <c r="F51" s="169" t="e">
        <f>#REF!</f>
        <v>#REF!</v>
      </c>
      <c r="J51" s="177" t="e">
        <f>#REF!</f>
        <v>#REF!</v>
      </c>
      <c r="K51" s="176" t="e">
        <f>#REF!</f>
        <v>#REF!</v>
      </c>
      <c r="L51" s="175" t="e">
        <f>#REF!</f>
        <v>#REF!</v>
      </c>
      <c r="M51" s="175" t="e">
        <f>#REF!</f>
        <v>#REF!</v>
      </c>
      <c r="N51" s="173"/>
      <c r="AD51" s="174">
        <v>9</v>
      </c>
      <c r="AE51" s="169">
        <f t="shared" si="7"/>
        <v>0</v>
      </c>
      <c r="AF51" s="249" t="e">
        <f>AM48</f>
        <v>#REF!</v>
      </c>
      <c r="AG51" s="249" t="str">
        <f>AL48</f>
        <v>3/8 in.</v>
      </c>
      <c r="AH51" s="269">
        <f>AH66</f>
        <v>61.685236282952467</v>
      </c>
      <c r="AK51" s="174">
        <f t="shared" si="1"/>
        <v>24</v>
      </c>
      <c r="AL51" s="169" t="str">
        <f t="shared" si="2"/>
        <v>No. 16</v>
      </c>
      <c r="AM51" s="185" t="e">
        <f>IF(#REF!=1,NA(),#REF!)</f>
        <v>#REF!</v>
      </c>
      <c r="AN51" s="185" t="e">
        <f t="shared" si="3"/>
        <v>#N/A</v>
      </c>
      <c r="AO51" s="185" t="e">
        <f t="shared" si="8"/>
        <v>#N/A</v>
      </c>
      <c r="AP51" s="266" t="e">
        <f t="shared" si="9"/>
        <v>#N/A</v>
      </c>
      <c r="AR51" s="174" t="str">
        <f t="shared" si="4"/>
        <v/>
      </c>
      <c r="AT51" s="185" t="str">
        <f t="shared" si="5"/>
        <v/>
      </c>
      <c r="AU51" s="185" t="e">
        <f t="shared" si="10"/>
        <v>#VALUE!</v>
      </c>
      <c r="AV51" s="185" t="str">
        <f t="shared" si="11"/>
        <v/>
      </c>
      <c r="AW51" s="266" t="str">
        <f t="shared" si="6"/>
        <v/>
      </c>
    </row>
    <row r="52" spans="5:49" x14ac:dyDescent="0.25">
      <c r="E52" s="172"/>
      <c r="F52" s="171"/>
      <c r="G52" s="171"/>
      <c r="H52" s="171"/>
      <c r="I52" s="171"/>
      <c r="J52" s="171"/>
      <c r="K52" s="171"/>
      <c r="L52" s="171"/>
      <c r="M52" s="171"/>
      <c r="N52" s="170"/>
      <c r="AD52" s="174">
        <v>10</v>
      </c>
      <c r="AE52" s="169">
        <f t="shared" si="7"/>
        <v>0</v>
      </c>
      <c r="AF52" s="249" t="e">
        <f>AM47</f>
        <v>#REF!</v>
      </c>
      <c r="AG52" s="249" t="str">
        <f>AL47</f>
        <v>1/2 in.</v>
      </c>
      <c r="AH52" s="269">
        <f>AH65</f>
        <v>70.260570918450924</v>
      </c>
      <c r="AK52" s="174">
        <f t="shared" si="1"/>
        <v>18</v>
      </c>
      <c r="AL52" s="169" t="str">
        <f t="shared" si="2"/>
        <v>No. 30</v>
      </c>
      <c r="AM52" s="185" t="e">
        <f>IF(#REF!=1,NA(),#REF!)</f>
        <v>#REF!</v>
      </c>
      <c r="AN52" s="185" t="e">
        <f t="shared" si="3"/>
        <v>#N/A</v>
      </c>
      <c r="AO52" s="185" t="e">
        <f t="shared" si="8"/>
        <v>#N/A</v>
      </c>
      <c r="AP52" s="266" t="e">
        <f t="shared" si="9"/>
        <v>#N/A</v>
      </c>
      <c r="AR52" s="174" t="str">
        <f t="shared" si="4"/>
        <v/>
      </c>
      <c r="AT52" s="185" t="str">
        <f t="shared" si="5"/>
        <v/>
      </c>
      <c r="AU52" s="185" t="e">
        <f t="shared" si="10"/>
        <v>#VALUE!</v>
      </c>
      <c r="AV52" s="185" t="str">
        <f t="shared" si="11"/>
        <v/>
      </c>
      <c r="AW52" s="266" t="str">
        <f t="shared" si="6"/>
        <v/>
      </c>
    </row>
    <row r="53" spans="5:49" x14ac:dyDescent="0.25">
      <c r="AD53" s="174">
        <v>11</v>
      </c>
      <c r="AE53" s="169">
        <f t="shared" si="7"/>
        <v>0</v>
      </c>
      <c r="AF53" s="249" t="e">
        <f>AM46</f>
        <v>#REF!</v>
      </c>
      <c r="AG53" s="249" t="str">
        <f>AL46</f>
        <v>3/4 in.</v>
      </c>
      <c r="AH53" s="269">
        <f>AH64</f>
        <v>84.224631674288489</v>
      </c>
      <c r="AK53" s="174">
        <f t="shared" si="1"/>
        <v>13</v>
      </c>
      <c r="AL53" s="169" t="str">
        <f t="shared" si="2"/>
        <v>No. 50</v>
      </c>
      <c r="AM53" s="185" t="e">
        <f>IF(#REF!=1,NA(),#REF!)</f>
        <v>#REF!</v>
      </c>
      <c r="AN53" s="185" t="e">
        <f t="shared" si="3"/>
        <v>#N/A</v>
      </c>
      <c r="AO53" s="185" t="e">
        <f t="shared" si="8"/>
        <v>#N/A</v>
      </c>
      <c r="AP53" s="266" t="e">
        <f t="shared" si="9"/>
        <v>#N/A</v>
      </c>
      <c r="AR53" s="174" t="str">
        <f t="shared" si="4"/>
        <v/>
      </c>
      <c r="AT53" s="185" t="str">
        <f t="shared" si="5"/>
        <v/>
      </c>
      <c r="AU53" s="185" t="e">
        <f t="shared" si="10"/>
        <v>#VALUE!</v>
      </c>
      <c r="AV53" s="185" t="str">
        <f t="shared" si="11"/>
        <v/>
      </c>
      <c r="AW53" s="266" t="str">
        <f t="shared" si="6"/>
        <v/>
      </c>
    </row>
    <row r="54" spans="5:49" x14ac:dyDescent="0.25">
      <c r="AD54" s="174">
        <v>12</v>
      </c>
      <c r="AE54" s="169">
        <f t="shared" si="7"/>
        <v>0</v>
      </c>
      <c r="AF54" s="249" t="e">
        <f>AM45</f>
        <v>#REF!</v>
      </c>
      <c r="AG54" s="249" t="str">
        <f>AL45</f>
        <v>1 in.</v>
      </c>
      <c r="AH54" s="269">
        <f>AH63</f>
        <v>95.978768337151067</v>
      </c>
      <c r="AK54" s="174">
        <f t="shared" si="1"/>
        <v>10</v>
      </c>
      <c r="AL54" s="169" t="str">
        <f t="shared" si="2"/>
        <v>No. 100</v>
      </c>
      <c r="AM54" s="185" t="e">
        <f>IF(#REF!=1,NA(),#REF!)</f>
        <v>#REF!</v>
      </c>
      <c r="AN54" s="185" t="e">
        <f t="shared" si="3"/>
        <v>#N/A</v>
      </c>
      <c r="AO54" s="185" t="e">
        <f t="shared" si="8"/>
        <v>#N/A</v>
      </c>
      <c r="AP54" s="266" t="e">
        <f t="shared" si="9"/>
        <v>#N/A</v>
      </c>
      <c r="AR54" s="174" t="str">
        <f t="shared" si="4"/>
        <v/>
      </c>
      <c r="AT54" s="185" t="str">
        <f t="shared" si="5"/>
        <v/>
      </c>
      <c r="AU54" s="185" t="e">
        <f t="shared" si="10"/>
        <v>#VALUE!</v>
      </c>
      <c r="AV54" s="185" t="str">
        <f t="shared" si="11"/>
        <v/>
      </c>
      <c r="AW54" s="266" t="str">
        <f t="shared" si="6"/>
        <v/>
      </c>
    </row>
    <row r="55" spans="5:49" x14ac:dyDescent="0.25">
      <c r="AD55" s="174">
        <v>13</v>
      </c>
      <c r="AE55" s="169">
        <f t="shared" si="7"/>
        <v>0</v>
      </c>
      <c r="AF55" s="249" t="e">
        <f>AM44</f>
        <v>#REF!</v>
      </c>
      <c r="AG55" s="249" t="str">
        <f>AL44</f>
        <v>1 1/2 in.</v>
      </c>
      <c r="AH55" s="269">
        <f>AH62</f>
        <v>115.19038744950137</v>
      </c>
      <c r="AK55" s="174">
        <f t="shared" si="1"/>
        <v>7</v>
      </c>
      <c r="AL55" s="169" t="str">
        <f t="shared" si="2"/>
        <v>No. 200</v>
      </c>
      <c r="AM55" s="185" t="e">
        <f>IF(#REF!=1,NA(),#REF!)</f>
        <v>#REF!</v>
      </c>
      <c r="AN55" s="185" t="e">
        <f t="shared" si="3"/>
        <v>#N/A</v>
      </c>
      <c r="AO55" s="185" t="e">
        <f t="shared" si="8"/>
        <v>#N/A</v>
      </c>
      <c r="AP55" s="266" t="e">
        <f t="shared" si="9"/>
        <v>#N/A</v>
      </c>
      <c r="AR55" s="174" t="str">
        <f t="shared" si="4"/>
        <v/>
      </c>
      <c r="AT55" s="185" t="str">
        <f t="shared" si="5"/>
        <v/>
      </c>
      <c r="AU55" s="185" t="e">
        <f t="shared" si="10"/>
        <v>#VALUE!</v>
      </c>
      <c r="AV55" s="185" t="str">
        <f t="shared" si="11"/>
        <v/>
      </c>
      <c r="AW55" s="266" t="str">
        <f t="shared" si="6"/>
        <v/>
      </c>
    </row>
    <row r="56" spans="5:49" x14ac:dyDescent="0.25">
      <c r="AD56" s="172">
        <v>14</v>
      </c>
      <c r="AE56" s="171">
        <f t="shared" si="7"/>
        <v>0</v>
      </c>
      <c r="AF56" s="252" t="e">
        <f>AM43</f>
        <v>#REF!</v>
      </c>
      <c r="AG56" s="252" t="str">
        <f>AL43</f>
        <v>2 in.</v>
      </c>
      <c r="AH56" s="268">
        <f>AH61</f>
        <v>131.11086134225255</v>
      </c>
      <c r="AK56" s="172">
        <f t="shared" si="1"/>
        <v>0</v>
      </c>
      <c r="AL56" s="171" t="str">
        <f t="shared" si="2"/>
        <v>Pan</v>
      </c>
      <c r="AM56" s="267" t="e">
        <f>#REF!</f>
        <v>#REF!</v>
      </c>
      <c r="AN56" s="267">
        <v>0</v>
      </c>
      <c r="AO56" s="245">
        <f t="shared" si="8"/>
        <v>-7.0000000000000007E-2</v>
      </c>
      <c r="AP56" s="244">
        <f t="shared" si="9"/>
        <v>7.0000000000000007E-2</v>
      </c>
      <c r="AR56" s="174">
        <f t="shared" si="4"/>
        <v>0</v>
      </c>
      <c r="AT56" s="185" t="e">
        <f t="shared" si="5"/>
        <v>#REF!</v>
      </c>
      <c r="AU56" s="185" t="e">
        <f t="shared" si="10"/>
        <v>#REF!</v>
      </c>
      <c r="AV56" s="185" t="str">
        <f t="shared" si="11"/>
        <v/>
      </c>
      <c r="AW56" s="266" t="str">
        <f t="shared" si="6"/>
        <v/>
      </c>
    </row>
    <row r="57" spans="5:49" x14ac:dyDescent="0.25">
      <c r="AR57" s="174"/>
      <c r="AW57" s="173"/>
    </row>
    <row r="58" spans="5:49" x14ac:dyDescent="0.25">
      <c r="I58" s="184" t="s">
        <v>170</v>
      </c>
      <c r="J58" s="261" t="e">
        <f>I67/I68</f>
        <v>#REF!</v>
      </c>
      <c r="AD58" s="234" t="s">
        <v>169</v>
      </c>
      <c r="AE58" s="198"/>
      <c r="AF58" s="198"/>
      <c r="AG58" s="198"/>
      <c r="AH58" s="198"/>
      <c r="AI58" s="233"/>
      <c r="AR58" s="174"/>
      <c r="AW58" s="173"/>
    </row>
    <row r="59" spans="5:49" x14ac:dyDescent="0.25">
      <c r="AD59" s="213" t="s">
        <v>168</v>
      </c>
      <c r="AE59" s="196" t="s">
        <v>167</v>
      </c>
      <c r="AF59" s="196" t="s">
        <v>166</v>
      </c>
      <c r="AG59" s="196" t="s">
        <v>165</v>
      </c>
      <c r="AH59" s="265" t="s">
        <v>164</v>
      </c>
      <c r="AI59" s="264" t="s">
        <v>163</v>
      </c>
      <c r="AL59" s="169">
        <v>2</v>
      </c>
      <c r="AM59" s="169">
        <v>3</v>
      </c>
      <c r="AN59" s="169">
        <v>4</v>
      </c>
      <c r="AO59" s="169">
        <v>5</v>
      </c>
      <c r="AP59" s="169">
        <v>6</v>
      </c>
      <c r="AR59" s="174"/>
      <c r="AU59" s="169">
        <v>11</v>
      </c>
      <c r="AV59" s="169">
        <v>12</v>
      </c>
      <c r="AW59" s="173">
        <v>13</v>
      </c>
    </row>
    <row r="60" spans="5:49" x14ac:dyDescent="0.25">
      <c r="H60" s="169" t="s">
        <v>162</v>
      </c>
      <c r="AD60" s="169" t="s">
        <v>161</v>
      </c>
      <c r="AE60" s="169" t="s">
        <v>160</v>
      </c>
      <c r="AG60" s="169" t="s">
        <v>159</v>
      </c>
      <c r="AK60" s="213">
        <v>0</v>
      </c>
      <c r="AL60" s="196" t="str">
        <f t="shared" ref="AL60:AL91" si="12">IF(ISNA(VLOOKUP($AK60,$AK$43:$AP$56,AL$59,FALSE)),"",VLOOKUP($AK60,$AK$43:$AP$56,AL$59,FALSE))</f>
        <v>Pan</v>
      </c>
      <c r="AM60" s="263" t="e">
        <f t="shared" ref="AM60:AP79" si="13">IF(ISBLANK(VLOOKUP($AK60,$AK$43:$AP$56,AM$59,FALSE)),NA(),VLOOKUP($AK60,$AK$43:$AP$56,AM$59,FALSE))</f>
        <v>#REF!</v>
      </c>
      <c r="AN60" s="263">
        <f t="shared" si="13"/>
        <v>0</v>
      </c>
      <c r="AO60" s="263">
        <f t="shared" si="13"/>
        <v>-7.0000000000000007E-2</v>
      </c>
      <c r="AP60" s="262">
        <f t="shared" si="13"/>
        <v>7.0000000000000007E-2</v>
      </c>
      <c r="AQ60" s="169" t="e">
        <f>NA()</f>
        <v>#N/A</v>
      </c>
      <c r="AR60" s="174"/>
      <c r="AU60" s="263" t="e">
        <f>IF(ISBLANK(VLOOKUP($AK60,$AK$43:$AW$56,AU$59,FALSE)),NA(),VLOOKUP($AK60,$AK$43:$AW$56,AU$59,FALSE))</f>
        <v>#REF!</v>
      </c>
      <c r="AV60" s="263" t="str">
        <f>IF(ISBLANK(VLOOKUP($AK60,$AK$43:$AW$56,AV$59,FALSE)),NA(),VLOOKUP($AK60,$AK$43:$AW$56,AV$59,FALSE))</f>
        <v/>
      </c>
      <c r="AW60" s="262" t="str">
        <f>IF(ISBLANK(VLOOKUP($AK60,$AK$43:$AW$56,AW$59,FALSE)),NA(),VLOOKUP($AK60,$AK$43:$AW$56,AW$59,FALSE))</f>
        <v/>
      </c>
    </row>
    <row r="61" spans="5:49" x14ac:dyDescent="0.25">
      <c r="I61" s="184" t="s">
        <v>158</v>
      </c>
      <c r="J61" s="261" t="e">
        <f>I69+2.5*(I70-564)/94/100</f>
        <v>#REF!</v>
      </c>
      <c r="AD61" s="213" t="s">
        <v>78</v>
      </c>
      <c r="AE61" s="196">
        <v>2</v>
      </c>
      <c r="AF61" s="196">
        <v>50.8</v>
      </c>
      <c r="AG61" s="196">
        <v>50800</v>
      </c>
      <c r="AH61" s="260">
        <f t="shared" ref="AH61:AH74" si="14">AG61^0.45</f>
        <v>131.11086134225255</v>
      </c>
      <c r="AI61" s="195">
        <f t="shared" ref="AI61:AI74" si="15">LOG(AH61)</f>
        <v>2.1176386705277639</v>
      </c>
      <c r="AK61" s="174">
        <v>1</v>
      </c>
      <c r="AL61" s="169" t="str">
        <f t="shared" si="12"/>
        <v/>
      </c>
      <c r="AM61" s="247" t="e">
        <f t="shared" si="13"/>
        <v>#N/A</v>
      </c>
      <c r="AN61" s="247" t="e">
        <f t="shared" si="13"/>
        <v>#N/A</v>
      </c>
      <c r="AO61" s="247" t="e">
        <f t="shared" si="13"/>
        <v>#N/A</v>
      </c>
      <c r="AP61" s="246" t="e">
        <f t="shared" si="13"/>
        <v>#N/A</v>
      </c>
      <c r="AQ61" s="169" t="e">
        <f>NA()</f>
        <v>#N/A</v>
      </c>
      <c r="AR61" s="174"/>
      <c r="AU61" s="247" t="e">
        <f t="shared" ref="AU61:AU92" si="16">IF(ISBLANK(VLOOKUP($AK61,$AK$43:$AU$56,AU$59,FALSE)),NA(),VLOOKUP($AK61,$AK$43:$AU$56,AU$59,FALSE))</f>
        <v>#N/A</v>
      </c>
      <c r="AV61" s="247" t="e">
        <f t="shared" ref="AV61:AW80" si="17">IF(ISBLANK(VLOOKUP($AK61,$AK$43:$AW$56,AV$59,FALSE)),NA(),VLOOKUP($AK61,$AK$43:$AW$56,AV$59,FALSE))</f>
        <v>#N/A</v>
      </c>
      <c r="AW61" s="246" t="e">
        <f t="shared" si="17"/>
        <v>#N/A</v>
      </c>
    </row>
    <row r="62" spans="5:49" x14ac:dyDescent="0.25">
      <c r="T62" s="213" t="s">
        <v>157</v>
      </c>
      <c r="U62" s="195"/>
      <c r="AD62" s="174" t="s">
        <v>77</v>
      </c>
      <c r="AE62" s="169">
        <v>1.5</v>
      </c>
      <c r="AF62" s="169">
        <v>38.099999999999994</v>
      </c>
      <c r="AG62" s="169">
        <v>38100</v>
      </c>
      <c r="AH62" s="258">
        <f t="shared" si="14"/>
        <v>115.19038744950137</v>
      </c>
      <c r="AI62" s="173">
        <f t="shared" si="15"/>
        <v>2.0614162390540285</v>
      </c>
      <c r="AK62" s="174">
        <v>2</v>
      </c>
      <c r="AL62" s="169" t="str">
        <f t="shared" si="12"/>
        <v/>
      </c>
      <c r="AM62" s="247" t="e">
        <f t="shared" si="13"/>
        <v>#N/A</v>
      </c>
      <c r="AN62" s="247" t="e">
        <f t="shared" si="13"/>
        <v>#N/A</v>
      </c>
      <c r="AO62" s="247" t="e">
        <f t="shared" si="13"/>
        <v>#N/A</v>
      </c>
      <c r="AP62" s="246" t="e">
        <f t="shared" si="13"/>
        <v>#N/A</v>
      </c>
      <c r="AQ62" s="169" t="e">
        <f>NA()</f>
        <v>#N/A</v>
      </c>
      <c r="AR62" s="174"/>
      <c r="AU62" s="247" t="e">
        <f t="shared" si="16"/>
        <v>#N/A</v>
      </c>
      <c r="AV62" s="247" t="e">
        <f t="shared" si="17"/>
        <v>#N/A</v>
      </c>
      <c r="AW62" s="246" t="e">
        <f t="shared" si="17"/>
        <v>#N/A</v>
      </c>
    </row>
    <row r="63" spans="5:49" x14ac:dyDescent="0.25">
      <c r="H63" s="169" t="s">
        <v>156</v>
      </c>
      <c r="T63" s="174" t="s">
        <v>112</v>
      </c>
      <c r="U63" s="173" t="s">
        <v>111</v>
      </c>
      <c r="AD63" s="174" t="s">
        <v>76</v>
      </c>
      <c r="AE63" s="169">
        <v>1</v>
      </c>
      <c r="AF63" s="169">
        <v>25.4</v>
      </c>
      <c r="AG63" s="169">
        <v>25400</v>
      </c>
      <c r="AH63" s="258">
        <f t="shared" si="14"/>
        <v>95.978768337151067</v>
      </c>
      <c r="AI63" s="173">
        <f t="shared" si="15"/>
        <v>1.9821751724789722</v>
      </c>
      <c r="AK63" s="174">
        <v>3</v>
      </c>
      <c r="AL63" s="169" t="str">
        <f t="shared" si="12"/>
        <v/>
      </c>
      <c r="AM63" s="247" t="e">
        <f t="shared" si="13"/>
        <v>#N/A</v>
      </c>
      <c r="AN63" s="247" t="e">
        <f t="shared" si="13"/>
        <v>#N/A</v>
      </c>
      <c r="AO63" s="247" t="e">
        <f t="shared" si="13"/>
        <v>#N/A</v>
      </c>
      <c r="AP63" s="246" t="e">
        <f t="shared" si="13"/>
        <v>#N/A</v>
      </c>
      <c r="AQ63" s="169" t="e">
        <f>NA()</f>
        <v>#N/A</v>
      </c>
      <c r="AR63" s="174"/>
      <c r="AU63" s="247" t="e">
        <f t="shared" si="16"/>
        <v>#N/A</v>
      </c>
      <c r="AV63" s="247" t="e">
        <f t="shared" si="17"/>
        <v>#N/A</v>
      </c>
      <c r="AW63" s="246" t="e">
        <f t="shared" si="17"/>
        <v>#N/A</v>
      </c>
    </row>
    <row r="64" spans="5:49" x14ac:dyDescent="0.25">
      <c r="T64" s="174" t="s">
        <v>144</v>
      </c>
      <c r="U64" s="173"/>
      <c r="W64" s="213" t="s">
        <v>82</v>
      </c>
      <c r="X64" s="196" t="s">
        <v>92</v>
      </c>
      <c r="Y64" s="196" t="s">
        <v>155</v>
      </c>
      <c r="Z64" s="195" t="s">
        <v>154</v>
      </c>
      <c r="AD64" s="174" t="s">
        <v>75</v>
      </c>
      <c r="AE64" s="169">
        <v>0.75</v>
      </c>
      <c r="AF64" s="169">
        <v>19</v>
      </c>
      <c r="AG64" s="169">
        <v>19000</v>
      </c>
      <c r="AH64" s="258">
        <f t="shared" si="14"/>
        <v>84.224631674288489</v>
      </c>
      <c r="AI64" s="173">
        <f t="shared" si="15"/>
        <v>1.9254391204287729</v>
      </c>
      <c r="AK64" s="174">
        <v>4</v>
      </c>
      <c r="AL64" s="169" t="str">
        <f t="shared" si="12"/>
        <v/>
      </c>
      <c r="AM64" s="247" t="e">
        <f t="shared" si="13"/>
        <v>#N/A</v>
      </c>
      <c r="AN64" s="247" t="e">
        <f t="shared" si="13"/>
        <v>#N/A</v>
      </c>
      <c r="AO64" s="247" t="e">
        <f t="shared" si="13"/>
        <v>#N/A</v>
      </c>
      <c r="AP64" s="246" t="e">
        <f t="shared" si="13"/>
        <v>#N/A</v>
      </c>
      <c r="AQ64" s="169" t="e">
        <f>NA()</f>
        <v>#N/A</v>
      </c>
      <c r="AR64" s="174"/>
      <c r="AU64" s="247" t="e">
        <f t="shared" si="16"/>
        <v>#N/A</v>
      </c>
      <c r="AV64" s="247" t="e">
        <f t="shared" si="17"/>
        <v>#N/A</v>
      </c>
      <c r="AW64" s="246" t="e">
        <f t="shared" si="17"/>
        <v>#N/A</v>
      </c>
    </row>
    <row r="65" spans="6:49" x14ac:dyDescent="0.25">
      <c r="I65" s="169" t="e">
        <f>"CF = "&amp;TEXT(J58,"##.#%")&amp;",   WF = "&amp;TEXT(J61,"##.#%")</f>
        <v>#REF!</v>
      </c>
      <c r="L65" s="190"/>
      <c r="T65" s="251">
        <f>T69</f>
        <v>0.52</v>
      </c>
      <c r="U65" s="250">
        <f>U69</f>
        <v>0.34</v>
      </c>
      <c r="W65" s="174" t="s">
        <v>78</v>
      </c>
      <c r="X65" s="249" t="e">
        <f t="shared" ref="X65:Z72" si="18">IF(X80=0,NA(),X79)</f>
        <v>#REF!</v>
      </c>
      <c r="Y65" s="249" t="e">
        <f t="shared" si="18"/>
        <v>#N/A</v>
      </c>
      <c r="Z65" s="256" t="e">
        <f t="shared" si="18"/>
        <v>#REF!</v>
      </c>
      <c r="AD65" s="174" t="s">
        <v>74</v>
      </c>
      <c r="AE65" s="169">
        <v>0.5</v>
      </c>
      <c r="AF65" s="169">
        <v>12.7</v>
      </c>
      <c r="AG65" s="169">
        <v>12700</v>
      </c>
      <c r="AH65" s="258">
        <f t="shared" si="14"/>
        <v>70.260570918450924</v>
      </c>
      <c r="AI65" s="173">
        <f t="shared" si="15"/>
        <v>1.846711674430181</v>
      </c>
      <c r="AK65" s="174">
        <v>5</v>
      </c>
      <c r="AL65" s="169" t="str">
        <f t="shared" si="12"/>
        <v/>
      </c>
      <c r="AM65" s="247" t="e">
        <f t="shared" si="13"/>
        <v>#N/A</v>
      </c>
      <c r="AN65" s="247" t="e">
        <f t="shared" si="13"/>
        <v>#N/A</v>
      </c>
      <c r="AO65" s="247" t="e">
        <f t="shared" si="13"/>
        <v>#N/A</v>
      </c>
      <c r="AP65" s="246" t="e">
        <f t="shared" si="13"/>
        <v>#N/A</v>
      </c>
      <c r="AQ65" s="169" t="e">
        <f>NA()</f>
        <v>#N/A</v>
      </c>
      <c r="AR65" s="174"/>
      <c r="AU65" s="247" t="e">
        <f t="shared" si="16"/>
        <v>#N/A</v>
      </c>
      <c r="AV65" s="247" t="e">
        <f t="shared" si="17"/>
        <v>#N/A</v>
      </c>
      <c r="AW65" s="246" t="e">
        <f t="shared" si="17"/>
        <v>#N/A</v>
      </c>
    </row>
    <row r="66" spans="6:49" x14ac:dyDescent="0.25">
      <c r="T66" s="251">
        <f>G123</f>
        <v>0.52</v>
      </c>
      <c r="U66" s="248">
        <f>H123</f>
        <v>0.38</v>
      </c>
      <c r="W66" s="174" t="s">
        <v>77</v>
      </c>
      <c r="X66" s="249" t="e">
        <f t="shared" si="18"/>
        <v>#REF!</v>
      </c>
      <c r="Y66" s="249" t="e">
        <f t="shared" si="18"/>
        <v>#N/A</v>
      </c>
      <c r="Z66" s="256" t="e">
        <f t="shared" si="18"/>
        <v>#REF!</v>
      </c>
      <c r="AD66" s="174" t="s">
        <v>73</v>
      </c>
      <c r="AE66" s="169">
        <v>0.375</v>
      </c>
      <c r="AF66" s="169">
        <v>9.51</v>
      </c>
      <c r="AG66" s="169">
        <v>9510</v>
      </c>
      <c r="AH66" s="258">
        <f t="shared" si="14"/>
        <v>61.685236282952467</v>
      </c>
      <c r="AI66" s="173">
        <f t="shared" si="15"/>
        <v>1.7901812326218365</v>
      </c>
      <c r="AK66" s="174">
        <v>6</v>
      </c>
      <c r="AL66" s="169" t="str">
        <f t="shared" si="12"/>
        <v/>
      </c>
      <c r="AM66" s="247" t="e">
        <f t="shared" si="13"/>
        <v>#N/A</v>
      </c>
      <c r="AN66" s="247" t="e">
        <f t="shared" si="13"/>
        <v>#N/A</v>
      </c>
      <c r="AO66" s="247" t="e">
        <f t="shared" si="13"/>
        <v>#N/A</v>
      </c>
      <c r="AP66" s="246" t="e">
        <f t="shared" si="13"/>
        <v>#N/A</v>
      </c>
      <c r="AQ66" s="169" t="e">
        <f>NA()</f>
        <v>#N/A</v>
      </c>
      <c r="AR66" s="174"/>
      <c r="AU66" s="247" t="e">
        <f t="shared" si="16"/>
        <v>#N/A</v>
      </c>
      <c r="AV66" s="247" t="e">
        <f t="shared" si="17"/>
        <v>#N/A</v>
      </c>
      <c r="AW66" s="246" t="e">
        <f t="shared" si="17"/>
        <v>#N/A</v>
      </c>
    </row>
    <row r="67" spans="6:49" x14ac:dyDescent="0.25">
      <c r="H67" s="184" t="s">
        <v>153</v>
      </c>
      <c r="I67" s="249" t="e">
        <f>#REF!</f>
        <v>#REF!</v>
      </c>
      <c r="J67" s="169" t="s">
        <v>152</v>
      </c>
      <c r="T67" s="251">
        <f>G124</f>
        <v>0.68</v>
      </c>
      <c r="U67" s="248">
        <f>H124</f>
        <v>0.36</v>
      </c>
      <c r="W67" s="174" t="s">
        <v>76</v>
      </c>
      <c r="X67" s="249" t="e">
        <f t="shared" si="18"/>
        <v>#REF!</v>
      </c>
      <c r="Y67" s="249" t="e">
        <f t="shared" si="18"/>
        <v>#N/A</v>
      </c>
      <c r="Z67" s="256" t="e">
        <f t="shared" si="18"/>
        <v>#REF!</v>
      </c>
      <c r="AD67" s="174" t="s">
        <v>72</v>
      </c>
      <c r="AE67" s="169">
        <v>0.187</v>
      </c>
      <c r="AF67" s="169">
        <v>4.76</v>
      </c>
      <c r="AG67" s="169">
        <v>4760</v>
      </c>
      <c r="AH67" s="258">
        <f t="shared" si="14"/>
        <v>45.177597175157636</v>
      </c>
      <c r="AI67" s="173">
        <f t="shared" si="15"/>
        <v>1.6549231287242221</v>
      </c>
      <c r="AK67" s="174">
        <v>7</v>
      </c>
      <c r="AL67" s="169" t="str">
        <f t="shared" si="12"/>
        <v>No. 200</v>
      </c>
      <c r="AM67" s="247" t="e">
        <f t="shared" si="13"/>
        <v>#REF!</v>
      </c>
      <c r="AN67" s="247" t="e">
        <f t="shared" si="13"/>
        <v>#N/A</v>
      </c>
      <c r="AO67" s="247" t="e">
        <f t="shared" si="13"/>
        <v>#N/A</v>
      </c>
      <c r="AP67" s="246" t="e">
        <f t="shared" si="13"/>
        <v>#N/A</v>
      </c>
      <c r="AQ67" s="259">
        <v>1</v>
      </c>
      <c r="AR67" s="174"/>
      <c r="AU67" s="247" t="e">
        <f t="shared" si="16"/>
        <v>#VALUE!</v>
      </c>
      <c r="AV67" s="247" t="str">
        <f t="shared" si="17"/>
        <v/>
      </c>
      <c r="AW67" s="246" t="str">
        <f t="shared" si="17"/>
        <v/>
      </c>
    </row>
    <row r="68" spans="6:49" x14ac:dyDescent="0.25">
      <c r="H68" s="184" t="s">
        <v>151</v>
      </c>
      <c r="I68" s="249" t="e">
        <f>#REF!</f>
        <v>#REF!</v>
      </c>
      <c r="J68" s="169" t="s">
        <v>150</v>
      </c>
      <c r="T68" s="251">
        <f>G114</f>
        <v>0.68</v>
      </c>
      <c r="U68" s="248">
        <f>H114</f>
        <v>0.32</v>
      </c>
      <c r="W68" s="174" t="s">
        <v>75</v>
      </c>
      <c r="X68" s="249" t="e">
        <f t="shared" si="18"/>
        <v>#REF!</v>
      </c>
      <c r="Y68" s="249">
        <f t="shared" si="18"/>
        <v>0</v>
      </c>
      <c r="Z68" s="256" t="e">
        <f t="shared" si="18"/>
        <v>#REF!</v>
      </c>
      <c r="AD68" s="174" t="s">
        <v>71</v>
      </c>
      <c r="AE68" s="169">
        <v>9.3700000000000006E-2</v>
      </c>
      <c r="AF68" s="169">
        <v>2.38</v>
      </c>
      <c r="AG68" s="169">
        <v>2380</v>
      </c>
      <c r="AH68" s="258">
        <f t="shared" si="14"/>
        <v>33.071936900670877</v>
      </c>
      <c r="AI68" s="173">
        <f t="shared" si="15"/>
        <v>1.5194596306754302</v>
      </c>
      <c r="AK68" s="174">
        <v>8</v>
      </c>
      <c r="AL68" s="169" t="str">
        <f t="shared" si="12"/>
        <v/>
      </c>
      <c r="AM68" s="247" t="e">
        <f t="shared" si="13"/>
        <v>#N/A</v>
      </c>
      <c r="AN68" s="247" t="e">
        <f t="shared" si="13"/>
        <v>#N/A</v>
      </c>
      <c r="AO68" s="247" t="e">
        <f t="shared" si="13"/>
        <v>#N/A</v>
      </c>
      <c r="AP68" s="246" t="e">
        <f t="shared" si="13"/>
        <v>#N/A</v>
      </c>
      <c r="AQ68" s="169" t="e">
        <f>NA()</f>
        <v>#N/A</v>
      </c>
      <c r="AR68" s="174"/>
      <c r="AU68" s="247" t="e">
        <f t="shared" si="16"/>
        <v>#N/A</v>
      </c>
      <c r="AV68" s="247" t="e">
        <f t="shared" si="17"/>
        <v>#N/A</v>
      </c>
      <c r="AW68" s="246" t="e">
        <f t="shared" si="17"/>
        <v>#N/A</v>
      </c>
    </row>
    <row r="69" spans="6:49" x14ac:dyDescent="0.25">
      <c r="H69" s="184" t="s">
        <v>149</v>
      </c>
      <c r="I69" s="249" t="e">
        <f>#REF!</f>
        <v>#REF!</v>
      </c>
      <c r="J69" s="169" t="s">
        <v>148</v>
      </c>
      <c r="T69" s="251">
        <f>G115</f>
        <v>0.52</v>
      </c>
      <c r="U69" s="248">
        <f>H115</f>
        <v>0.34</v>
      </c>
      <c r="W69" s="174" t="s">
        <v>74</v>
      </c>
      <c r="X69" s="249" t="e">
        <f t="shared" si="18"/>
        <v>#REF!</v>
      </c>
      <c r="Y69" s="249">
        <f t="shared" si="18"/>
        <v>0.08</v>
      </c>
      <c r="Z69" s="256" t="e">
        <f t="shared" si="18"/>
        <v>#REF!</v>
      </c>
      <c r="AD69" s="174" t="s">
        <v>70</v>
      </c>
      <c r="AE69" s="169">
        <v>4.6899999999999997E-2</v>
      </c>
      <c r="AF69" s="169">
        <v>1.19</v>
      </c>
      <c r="AG69" s="169">
        <v>1190</v>
      </c>
      <c r="AH69" s="258">
        <f t="shared" si="14"/>
        <v>24.210074876744265</v>
      </c>
      <c r="AI69" s="173">
        <f t="shared" si="15"/>
        <v>1.3839961326266388</v>
      </c>
      <c r="AK69" s="174">
        <v>9</v>
      </c>
      <c r="AL69" s="169" t="str">
        <f t="shared" si="12"/>
        <v/>
      </c>
      <c r="AM69" s="247" t="e">
        <f t="shared" si="13"/>
        <v>#N/A</v>
      </c>
      <c r="AN69" s="247" t="e">
        <f t="shared" si="13"/>
        <v>#N/A</v>
      </c>
      <c r="AO69" s="247" t="e">
        <f t="shared" si="13"/>
        <v>#N/A</v>
      </c>
      <c r="AP69" s="246" t="e">
        <f t="shared" si="13"/>
        <v>#N/A</v>
      </c>
      <c r="AQ69" s="169" t="e">
        <f>NA()</f>
        <v>#N/A</v>
      </c>
      <c r="AR69" s="174"/>
      <c r="AU69" s="247" t="e">
        <f t="shared" si="16"/>
        <v>#N/A</v>
      </c>
      <c r="AV69" s="247" t="e">
        <f t="shared" si="17"/>
        <v>#N/A</v>
      </c>
      <c r="AW69" s="246" t="e">
        <f t="shared" si="17"/>
        <v>#N/A</v>
      </c>
    </row>
    <row r="70" spans="6:49" x14ac:dyDescent="0.25">
      <c r="H70" s="184" t="s">
        <v>147</v>
      </c>
      <c r="I70" s="169" t="e">
        <f>#REF!</f>
        <v>#REF!</v>
      </c>
      <c r="J70" s="169" t="s">
        <v>146</v>
      </c>
      <c r="T70" s="174" t="s">
        <v>145</v>
      </c>
      <c r="U70" s="173"/>
      <c r="W70" s="174" t="s">
        <v>73</v>
      </c>
      <c r="X70" s="249" t="e">
        <f t="shared" si="18"/>
        <v>#REF!</v>
      </c>
      <c r="Y70" s="249">
        <f t="shared" si="18"/>
        <v>0.08</v>
      </c>
      <c r="Z70" s="256" t="e">
        <f t="shared" si="18"/>
        <v>#REF!</v>
      </c>
      <c r="AD70" s="174" t="s">
        <v>69</v>
      </c>
      <c r="AE70" s="169">
        <v>2.3400000000000001E-2</v>
      </c>
      <c r="AF70" s="169">
        <v>0.59499999999999997</v>
      </c>
      <c r="AG70" s="169">
        <v>595</v>
      </c>
      <c r="AH70" s="258">
        <f t="shared" si="14"/>
        <v>17.722812162406921</v>
      </c>
      <c r="AI70" s="173">
        <f t="shared" si="15"/>
        <v>1.2485326345778474</v>
      </c>
      <c r="AK70" s="174">
        <v>10</v>
      </c>
      <c r="AL70" s="169" t="str">
        <f t="shared" si="12"/>
        <v>No. 100</v>
      </c>
      <c r="AM70" s="247" t="e">
        <f t="shared" si="13"/>
        <v>#REF!</v>
      </c>
      <c r="AN70" s="247" t="e">
        <f t="shared" si="13"/>
        <v>#N/A</v>
      </c>
      <c r="AO70" s="247" t="e">
        <f t="shared" si="13"/>
        <v>#N/A</v>
      </c>
      <c r="AP70" s="246" t="e">
        <f t="shared" si="13"/>
        <v>#N/A</v>
      </c>
      <c r="AQ70" s="259">
        <f>AQ67</f>
        <v>1</v>
      </c>
      <c r="AR70" s="174"/>
      <c r="AU70" s="247" t="e">
        <f t="shared" si="16"/>
        <v>#VALUE!</v>
      </c>
      <c r="AV70" s="247" t="str">
        <f t="shared" si="17"/>
        <v/>
      </c>
      <c r="AW70" s="246" t="str">
        <f t="shared" si="17"/>
        <v/>
      </c>
    </row>
    <row r="71" spans="6:49" x14ac:dyDescent="0.25">
      <c r="T71" s="251" t="e">
        <f>J58</f>
        <v>#REF!</v>
      </c>
      <c r="U71" s="250" t="e">
        <f>J61</f>
        <v>#REF!</v>
      </c>
      <c r="W71" s="174" t="s">
        <v>72</v>
      </c>
      <c r="X71" s="249" t="e">
        <f t="shared" si="18"/>
        <v>#REF!</v>
      </c>
      <c r="Y71" s="249">
        <f t="shared" si="18"/>
        <v>0.08</v>
      </c>
      <c r="Z71" s="256" t="e">
        <f t="shared" si="18"/>
        <v>#REF!</v>
      </c>
      <c r="AD71" s="174" t="s">
        <v>68</v>
      </c>
      <c r="AE71" s="169">
        <v>1.17E-2</v>
      </c>
      <c r="AF71" s="169">
        <v>0.29699999999999999</v>
      </c>
      <c r="AG71" s="169">
        <v>297</v>
      </c>
      <c r="AH71" s="258">
        <f t="shared" si="14"/>
        <v>12.964041189051768</v>
      </c>
      <c r="AI71" s="173">
        <f t="shared" si="15"/>
        <v>1.1127404021927456</v>
      </c>
      <c r="AK71" s="174">
        <v>11</v>
      </c>
      <c r="AL71" s="169" t="str">
        <f t="shared" si="12"/>
        <v/>
      </c>
      <c r="AM71" s="247" t="e">
        <f t="shared" si="13"/>
        <v>#N/A</v>
      </c>
      <c r="AN71" s="247" t="e">
        <f t="shared" si="13"/>
        <v>#N/A</v>
      </c>
      <c r="AO71" s="247" t="e">
        <f t="shared" si="13"/>
        <v>#N/A</v>
      </c>
      <c r="AP71" s="246" t="e">
        <f t="shared" si="13"/>
        <v>#N/A</v>
      </c>
      <c r="AQ71" s="169" t="e">
        <f>NA()</f>
        <v>#N/A</v>
      </c>
      <c r="AR71" s="174"/>
      <c r="AU71" s="247" t="e">
        <f t="shared" si="16"/>
        <v>#N/A</v>
      </c>
      <c r="AV71" s="247" t="e">
        <f t="shared" si="17"/>
        <v>#N/A</v>
      </c>
      <c r="AW71" s="246" t="e">
        <f t="shared" si="17"/>
        <v>#N/A</v>
      </c>
    </row>
    <row r="72" spans="6:49" x14ac:dyDescent="0.25">
      <c r="G72" s="169" t="s">
        <v>144</v>
      </c>
      <c r="T72" s="174" t="s">
        <v>143</v>
      </c>
      <c r="U72" s="173"/>
      <c r="W72" s="174" t="s">
        <v>71</v>
      </c>
      <c r="X72" s="249" t="e">
        <f t="shared" si="18"/>
        <v>#REF!</v>
      </c>
      <c r="Y72" s="249">
        <f t="shared" si="18"/>
        <v>0.08</v>
      </c>
      <c r="Z72" s="256" t="e">
        <f t="shared" si="18"/>
        <v>#REF!</v>
      </c>
      <c r="AD72" s="174" t="s">
        <v>67</v>
      </c>
      <c r="AE72" s="169">
        <v>5.8999999999999999E-3</v>
      </c>
      <c r="AF72" s="169">
        <v>0.14899999999999999</v>
      </c>
      <c r="AG72" s="169">
        <v>149</v>
      </c>
      <c r="AH72" s="258">
        <f t="shared" si="14"/>
        <v>9.5045994842303667</v>
      </c>
      <c r="AI72" s="173">
        <f t="shared" si="15"/>
        <v>0.97793382078552349</v>
      </c>
      <c r="AK72" s="174">
        <v>12</v>
      </c>
      <c r="AL72" s="169" t="str">
        <f t="shared" si="12"/>
        <v/>
      </c>
      <c r="AM72" s="247" t="e">
        <f t="shared" si="13"/>
        <v>#N/A</v>
      </c>
      <c r="AN72" s="247" t="e">
        <f t="shared" si="13"/>
        <v>#N/A</v>
      </c>
      <c r="AO72" s="247" t="e">
        <f t="shared" si="13"/>
        <v>#N/A</v>
      </c>
      <c r="AP72" s="246" t="e">
        <f t="shared" si="13"/>
        <v>#N/A</v>
      </c>
      <c r="AQ72" s="169" t="e">
        <f>NA()</f>
        <v>#N/A</v>
      </c>
      <c r="AR72" s="174"/>
      <c r="AU72" s="247" t="e">
        <f t="shared" si="16"/>
        <v>#N/A</v>
      </c>
      <c r="AV72" s="247" t="e">
        <f t="shared" si="17"/>
        <v>#N/A</v>
      </c>
      <c r="AW72" s="246" t="e">
        <f t="shared" si="17"/>
        <v>#N/A</v>
      </c>
    </row>
    <row r="73" spans="6:49" x14ac:dyDescent="0.25">
      <c r="H73" s="169" t="s">
        <v>142</v>
      </c>
      <c r="T73" s="251">
        <f>G81</f>
        <v>0.8</v>
      </c>
      <c r="U73" s="250">
        <f>H81</f>
        <v>0.26</v>
      </c>
      <c r="W73" s="174" t="s">
        <v>70</v>
      </c>
      <c r="X73" s="249" t="e">
        <f t="shared" ref="X73:Z76" si="19">X87</f>
        <v>#REF!</v>
      </c>
      <c r="Y73" s="249">
        <f t="shared" si="19"/>
        <v>0.08</v>
      </c>
      <c r="Z73" s="256" t="e">
        <f t="shared" si="19"/>
        <v>#REF!</v>
      </c>
      <c r="AD73" s="174" t="s">
        <v>66</v>
      </c>
      <c r="AE73" s="169">
        <v>2.8999999999999998E-3</v>
      </c>
      <c r="AF73" s="169">
        <v>7.3999999999999996E-2</v>
      </c>
      <c r="AG73" s="169">
        <v>74</v>
      </c>
      <c r="AH73" s="258">
        <f t="shared" si="14"/>
        <v>6.9367217454368229</v>
      </c>
      <c r="AI73" s="173">
        <f t="shared" si="15"/>
        <v>0.84115427387893937</v>
      </c>
      <c r="AK73" s="174">
        <v>13</v>
      </c>
      <c r="AL73" s="169" t="str">
        <f t="shared" si="12"/>
        <v>No. 50</v>
      </c>
      <c r="AM73" s="247" t="e">
        <f t="shared" si="13"/>
        <v>#REF!</v>
      </c>
      <c r="AN73" s="247" t="e">
        <f t="shared" si="13"/>
        <v>#N/A</v>
      </c>
      <c r="AO73" s="247" t="e">
        <f t="shared" si="13"/>
        <v>#N/A</v>
      </c>
      <c r="AP73" s="246" t="e">
        <f t="shared" si="13"/>
        <v>#N/A</v>
      </c>
      <c r="AQ73" s="248">
        <f>AQ67</f>
        <v>1</v>
      </c>
      <c r="AR73" s="174"/>
      <c r="AU73" s="247" t="e">
        <f t="shared" si="16"/>
        <v>#VALUE!</v>
      </c>
      <c r="AV73" s="247" t="str">
        <f t="shared" si="17"/>
        <v/>
      </c>
      <c r="AW73" s="246" t="str">
        <f t="shared" si="17"/>
        <v/>
      </c>
    </row>
    <row r="74" spans="6:49" x14ac:dyDescent="0.25">
      <c r="H74" s="169" t="s">
        <v>141</v>
      </c>
      <c r="T74" s="251">
        <f>H100</f>
        <v>0.75</v>
      </c>
      <c r="U74" s="250">
        <f>$U$73+(T74-$T$73)*($U$76-$U$73)/($T$76-$T$73)</f>
        <v>0.26900000000000002</v>
      </c>
      <c r="W74" s="174" t="s">
        <v>69</v>
      </c>
      <c r="X74" s="249" t="e">
        <f t="shared" si="19"/>
        <v>#REF!</v>
      </c>
      <c r="Y74" s="249">
        <f t="shared" si="19"/>
        <v>0.08</v>
      </c>
      <c r="Z74" s="256">
        <f t="shared" si="19"/>
        <v>0.15</v>
      </c>
      <c r="AD74" s="172" t="s">
        <v>65</v>
      </c>
      <c r="AE74" s="171">
        <v>0</v>
      </c>
      <c r="AF74" s="171">
        <v>0</v>
      </c>
      <c r="AG74" s="171">
        <v>0</v>
      </c>
      <c r="AH74" s="257">
        <f t="shared" si="14"/>
        <v>0</v>
      </c>
      <c r="AI74" s="170" t="e">
        <f t="shared" si="15"/>
        <v>#NUM!</v>
      </c>
      <c r="AK74" s="174">
        <v>14</v>
      </c>
      <c r="AL74" s="169" t="str">
        <f t="shared" si="12"/>
        <v/>
      </c>
      <c r="AM74" s="247" t="e">
        <f t="shared" si="13"/>
        <v>#N/A</v>
      </c>
      <c r="AN74" s="247" t="e">
        <f t="shared" si="13"/>
        <v>#N/A</v>
      </c>
      <c r="AO74" s="247" t="e">
        <f t="shared" si="13"/>
        <v>#N/A</v>
      </c>
      <c r="AP74" s="246" t="e">
        <f t="shared" si="13"/>
        <v>#N/A</v>
      </c>
      <c r="AQ74" s="169" t="e">
        <f>NA()</f>
        <v>#N/A</v>
      </c>
      <c r="AR74" s="174"/>
      <c r="AU74" s="247" t="e">
        <f t="shared" si="16"/>
        <v>#N/A</v>
      </c>
      <c r="AV74" s="247" t="e">
        <f t="shared" si="17"/>
        <v>#N/A</v>
      </c>
      <c r="AW74" s="246" t="e">
        <f t="shared" si="17"/>
        <v>#N/A</v>
      </c>
    </row>
    <row r="75" spans="6:49" x14ac:dyDescent="0.25">
      <c r="H75" s="169" t="s">
        <v>140</v>
      </c>
      <c r="T75" s="251">
        <f>T77</f>
        <v>0.45</v>
      </c>
      <c r="U75" s="250">
        <f>$U$73+(T75-$T$73)*($U$76-$U$73)/($T$76-$T$73)</f>
        <v>0.32300000000000001</v>
      </c>
      <c r="W75" s="174" t="s">
        <v>68</v>
      </c>
      <c r="X75" s="249" t="e">
        <f t="shared" si="19"/>
        <v>#REF!</v>
      </c>
      <c r="Y75" s="249">
        <f t="shared" si="19"/>
        <v>0.08</v>
      </c>
      <c r="Z75" s="256">
        <f t="shared" si="19"/>
        <v>0.15</v>
      </c>
      <c r="AK75" s="174">
        <v>15</v>
      </c>
      <c r="AL75" s="169" t="str">
        <f t="shared" si="12"/>
        <v/>
      </c>
      <c r="AM75" s="247" t="e">
        <f t="shared" si="13"/>
        <v>#N/A</v>
      </c>
      <c r="AN75" s="247" t="e">
        <f t="shared" si="13"/>
        <v>#N/A</v>
      </c>
      <c r="AO75" s="247" t="e">
        <f t="shared" si="13"/>
        <v>#N/A</v>
      </c>
      <c r="AP75" s="246" t="e">
        <f t="shared" si="13"/>
        <v>#N/A</v>
      </c>
      <c r="AQ75" s="169" t="e">
        <f>NA()</f>
        <v>#N/A</v>
      </c>
      <c r="AR75" s="174"/>
      <c r="AU75" s="247" t="e">
        <f t="shared" si="16"/>
        <v>#N/A</v>
      </c>
      <c r="AV75" s="247" t="e">
        <f t="shared" si="17"/>
        <v>#N/A</v>
      </c>
      <c r="AW75" s="246" t="e">
        <f t="shared" si="17"/>
        <v>#N/A</v>
      </c>
    </row>
    <row r="76" spans="6:49" x14ac:dyDescent="0.25">
      <c r="T76" s="251">
        <f>G82</f>
        <v>0.3</v>
      </c>
      <c r="U76" s="250">
        <f>H82</f>
        <v>0.35</v>
      </c>
      <c r="W76" s="174" t="s">
        <v>67</v>
      </c>
      <c r="X76" s="249" t="e">
        <f t="shared" si="19"/>
        <v>#REF!</v>
      </c>
      <c r="Y76" s="249">
        <f t="shared" si="19"/>
        <v>0</v>
      </c>
      <c r="Z76" s="256">
        <f t="shared" si="19"/>
        <v>7.4999999999999997E-2</v>
      </c>
      <c r="AK76" s="174">
        <v>16</v>
      </c>
      <c r="AL76" s="169" t="str">
        <f t="shared" si="12"/>
        <v/>
      </c>
      <c r="AM76" s="247" t="e">
        <f t="shared" si="13"/>
        <v>#N/A</v>
      </c>
      <c r="AN76" s="247" t="e">
        <f t="shared" si="13"/>
        <v>#N/A</v>
      </c>
      <c r="AO76" s="247" t="e">
        <f t="shared" si="13"/>
        <v>#N/A</v>
      </c>
      <c r="AP76" s="246" t="e">
        <f t="shared" si="13"/>
        <v>#N/A</v>
      </c>
      <c r="AQ76" s="169" t="e">
        <f>NA()</f>
        <v>#N/A</v>
      </c>
      <c r="AR76" s="174"/>
      <c r="AU76" s="247" t="e">
        <f t="shared" si="16"/>
        <v>#N/A</v>
      </c>
      <c r="AV76" s="247" t="e">
        <f t="shared" si="17"/>
        <v>#N/A</v>
      </c>
      <c r="AW76" s="246" t="e">
        <f t="shared" si="17"/>
        <v>#N/A</v>
      </c>
    </row>
    <row r="77" spans="6:49" x14ac:dyDescent="0.25">
      <c r="F77" s="213" t="s">
        <v>139</v>
      </c>
      <c r="G77" s="196"/>
      <c r="H77" s="196"/>
      <c r="I77" s="196"/>
      <c r="J77" s="196"/>
      <c r="K77" s="196"/>
      <c r="L77" s="196"/>
      <c r="M77" s="195"/>
      <c r="T77" s="251">
        <f>H101</f>
        <v>0.45</v>
      </c>
      <c r="U77" s="250">
        <f>U75</f>
        <v>0.32300000000000001</v>
      </c>
      <c r="W77" s="172" t="s">
        <v>66</v>
      </c>
      <c r="X77" s="252" t="e">
        <f>#REF!</f>
        <v>#REF!</v>
      </c>
      <c r="Y77" s="252" t="e">
        <f>NA()</f>
        <v>#N/A</v>
      </c>
      <c r="Z77" s="255">
        <v>0</v>
      </c>
      <c r="AK77" s="174">
        <v>17</v>
      </c>
      <c r="AL77" s="169" t="str">
        <f t="shared" si="12"/>
        <v/>
      </c>
      <c r="AM77" s="247" t="e">
        <f t="shared" si="13"/>
        <v>#N/A</v>
      </c>
      <c r="AN77" s="247" t="e">
        <f t="shared" si="13"/>
        <v>#N/A</v>
      </c>
      <c r="AO77" s="247" t="e">
        <f t="shared" si="13"/>
        <v>#N/A</v>
      </c>
      <c r="AP77" s="246" t="e">
        <f t="shared" si="13"/>
        <v>#N/A</v>
      </c>
      <c r="AQ77" s="169" t="e">
        <f>NA()</f>
        <v>#N/A</v>
      </c>
      <c r="AR77" s="174"/>
      <c r="AU77" s="247" t="e">
        <f t="shared" si="16"/>
        <v>#N/A</v>
      </c>
      <c r="AV77" s="247" t="e">
        <f t="shared" si="17"/>
        <v>#N/A</v>
      </c>
      <c r="AW77" s="246" t="e">
        <f t="shared" si="17"/>
        <v>#N/A</v>
      </c>
    </row>
    <row r="78" spans="6:49" x14ac:dyDescent="0.25">
      <c r="F78" s="174" t="s">
        <v>138</v>
      </c>
      <c r="M78" s="173"/>
      <c r="T78" s="251">
        <f>T77</f>
        <v>0.45</v>
      </c>
      <c r="U78" s="250">
        <f>U77+($U$79-$U$73)</f>
        <v>0.443</v>
      </c>
      <c r="W78" s="213" t="s">
        <v>82</v>
      </c>
      <c r="X78" s="196"/>
      <c r="Y78" s="196"/>
      <c r="Z78" s="196">
        <v>0</v>
      </c>
      <c r="AA78" s="195"/>
      <c r="AK78" s="174">
        <v>18</v>
      </c>
      <c r="AL78" s="169" t="str">
        <f t="shared" si="12"/>
        <v>No. 30</v>
      </c>
      <c r="AM78" s="247" t="e">
        <f t="shared" si="13"/>
        <v>#REF!</v>
      </c>
      <c r="AN78" s="247" t="e">
        <f t="shared" si="13"/>
        <v>#N/A</v>
      </c>
      <c r="AO78" s="247" t="e">
        <f t="shared" si="13"/>
        <v>#N/A</v>
      </c>
      <c r="AP78" s="246" t="e">
        <f t="shared" si="13"/>
        <v>#N/A</v>
      </c>
      <c r="AQ78" s="248">
        <f>AQ67</f>
        <v>1</v>
      </c>
      <c r="AR78" s="174"/>
      <c r="AU78" s="247" t="e">
        <f t="shared" si="16"/>
        <v>#VALUE!</v>
      </c>
      <c r="AV78" s="247" t="str">
        <f t="shared" si="17"/>
        <v/>
      </c>
      <c r="AW78" s="246" t="str">
        <f t="shared" si="17"/>
        <v/>
      </c>
    </row>
    <row r="79" spans="6:49" x14ac:dyDescent="0.25">
      <c r="F79" s="174"/>
      <c r="G79" s="169" t="s">
        <v>113</v>
      </c>
      <c r="M79" s="173"/>
      <c r="T79" s="251">
        <f>G90</f>
        <v>0.8</v>
      </c>
      <c r="U79" s="250">
        <f>H90</f>
        <v>0.38</v>
      </c>
      <c r="W79" s="174" t="s">
        <v>78</v>
      </c>
      <c r="X79" s="249" t="e">
        <f>#REF!</f>
        <v>#REF!</v>
      </c>
      <c r="Y79" s="249">
        <v>0</v>
      </c>
      <c r="Z79" s="249" t="e">
        <f>IF(Z78&gt;0,Z78,IF(SUM(#REF!)=0,0,AA79))</f>
        <v>#REF!</v>
      </c>
      <c r="AA79" s="173">
        <v>0</v>
      </c>
      <c r="AK79" s="174">
        <v>19</v>
      </c>
      <c r="AL79" s="169" t="str">
        <f t="shared" si="12"/>
        <v/>
      </c>
      <c r="AM79" s="247" t="e">
        <f t="shared" si="13"/>
        <v>#N/A</v>
      </c>
      <c r="AN79" s="247" t="e">
        <f t="shared" si="13"/>
        <v>#N/A</v>
      </c>
      <c r="AO79" s="247" t="e">
        <f t="shared" si="13"/>
        <v>#N/A</v>
      </c>
      <c r="AP79" s="246" t="e">
        <f t="shared" si="13"/>
        <v>#N/A</v>
      </c>
      <c r="AQ79" s="169" t="e">
        <f>NA()</f>
        <v>#N/A</v>
      </c>
      <c r="AR79" s="174"/>
      <c r="AU79" s="247" t="e">
        <f t="shared" si="16"/>
        <v>#N/A</v>
      </c>
      <c r="AV79" s="247" t="e">
        <f t="shared" si="17"/>
        <v>#N/A</v>
      </c>
      <c r="AW79" s="246" t="e">
        <f t="shared" si="17"/>
        <v>#N/A</v>
      </c>
    </row>
    <row r="80" spans="6:49" x14ac:dyDescent="0.25">
      <c r="F80" s="174"/>
      <c r="G80" s="169" t="s">
        <v>112</v>
      </c>
      <c r="H80" s="169" t="s">
        <v>111</v>
      </c>
      <c r="M80" s="173"/>
      <c r="T80" s="251">
        <f>T74</f>
        <v>0.75</v>
      </c>
      <c r="U80" s="250">
        <f>U74+($U$79-$U$73)</f>
        <v>0.38900000000000001</v>
      </c>
      <c r="W80" s="174" t="s">
        <v>77</v>
      </c>
      <c r="X80" s="249" t="e">
        <f>#REF!</f>
        <v>#REF!</v>
      </c>
      <c r="Y80" s="249">
        <v>0</v>
      </c>
      <c r="Z80" s="249" t="e">
        <f>IF(Z79&gt;0,Z79,IF(SUM(#REF!)=0,0,AA80))</f>
        <v>#REF!</v>
      </c>
      <c r="AA80" s="173">
        <v>0.18</v>
      </c>
      <c r="AK80" s="174">
        <v>20</v>
      </c>
      <c r="AL80" s="169" t="str">
        <f t="shared" si="12"/>
        <v/>
      </c>
      <c r="AM80" s="247" t="e">
        <f t="shared" ref="AM80:AP99" si="20">IF(ISBLANK(VLOOKUP($AK80,$AK$43:$AP$56,AM$59,FALSE)),NA(),VLOOKUP($AK80,$AK$43:$AP$56,AM$59,FALSE))</f>
        <v>#N/A</v>
      </c>
      <c r="AN80" s="247" t="e">
        <f t="shared" si="20"/>
        <v>#N/A</v>
      </c>
      <c r="AO80" s="247" t="e">
        <f t="shared" si="20"/>
        <v>#N/A</v>
      </c>
      <c r="AP80" s="246" t="e">
        <f t="shared" si="20"/>
        <v>#N/A</v>
      </c>
      <c r="AQ80" s="169" t="e">
        <f>NA()</f>
        <v>#N/A</v>
      </c>
      <c r="AR80" s="174"/>
      <c r="AU80" s="247" t="e">
        <f t="shared" si="16"/>
        <v>#N/A</v>
      </c>
      <c r="AV80" s="247" t="e">
        <f t="shared" si="17"/>
        <v>#N/A</v>
      </c>
      <c r="AW80" s="246" t="e">
        <f t="shared" si="17"/>
        <v>#N/A</v>
      </c>
    </row>
    <row r="81" spans="6:49" x14ac:dyDescent="0.25">
      <c r="F81" s="174"/>
      <c r="G81" s="248">
        <v>0.8</v>
      </c>
      <c r="H81" s="248">
        <v>0.26</v>
      </c>
      <c r="M81" s="173"/>
      <c r="T81" s="251">
        <f>T80</f>
        <v>0.75</v>
      </c>
      <c r="U81" s="250">
        <f>U74</f>
        <v>0.26900000000000002</v>
      </c>
      <c r="W81" s="174" t="s">
        <v>76</v>
      </c>
      <c r="X81" s="249" t="e">
        <f>#REF!</f>
        <v>#REF!</v>
      </c>
      <c r="Y81" s="249">
        <v>0</v>
      </c>
      <c r="Z81" s="249" t="e">
        <f>IF(Z80&gt;0,Z80,IF(SUM(#REF!)=0,0,AA81))</f>
        <v>#REF!</v>
      </c>
      <c r="AA81" s="173">
        <v>0.18</v>
      </c>
      <c r="AK81" s="174">
        <v>21</v>
      </c>
      <c r="AL81" s="169" t="str">
        <f t="shared" si="12"/>
        <v/>
      </c>
      <c r="AM81" s="247" t="e">
        <f t="shared" si="20"/>
        <v>#N/A</v>
      </c>
      <c r="AN81" s="247" t="e">
        <f t="shared" si="20"/>
        <v>#N/A</v>
      </c>
      <c r="AO81" s="247" t="e">
        <f t="shared" si="20"/>
        <v>#N/A</v>
      </c>
      <c r="AP81" s="246" t="e">
        <f t="shared" si="20"/>
        <v>#N/A</v>
      </c>
      <c r="AQ81" s="169" t="e">
        <f>NA()</f>
        <v>#N/A</v>
      </c>
      <c r="AR81" s="174"/>
      <c r="AU81" s="247" t="e">
        <f t="shared" si="16"/>
        <v>#N/A</v>
      </c>
      <c r="AV81" s="247" t="e">
        <f t="shared" ref="AV81:AW100" si="21">IF(ISBLANK(VLOOKUP($AK81,$AK$43:$AW$56,AV$59,FALSE)),NA(),VLOOKUP($AK81,$AK$43:$AW$56,AV$59,FALSE))</f>
        <v>#N/A</v>
      </c>
      <c r="AW81" s="246" t="e">
        <f t="shared" si="21"/>
        <v>#N/A</v>
      </c>
    </row>
    <row r="82" spans="6:49" x14ac:dyDescent="0.25">
      <c r="F82" s="174"/>
      <c r="G82" s="248">
        <v>0.3</v>
      </c>
      <c r="H82" s="248">
        <v>0.35</v>
      </c>
      <c r="M82" s="173"/>
      <c r="T82" s="251">
        <f>T81</f>
        <v>0.75</v>
      </c>
      <c r="U82" s="250">
        <f>U80</f>
        <v>0.38900000000000001</v>
      </c>
      <c r="W82" s="174" t="s">
        <v>75</v>
      </c>
      <c r="X82" s="249" t="e">
        <f>#REF!</f>
        <v>#REF!</v>
      </c>
      <c r="Y82" s="249">
        <v>0</v>
      </c>
      <c r="Z82" s="249" t="e">
        <f>IF(Z81&gt;0,Z81,IF(SUM(#REF!)=0,0,AA82))</f>
        <v>#REF!</v>
      </c>
      <c r="AA82" s="173">
        <v>0.2</v>
      </c>
      <c r="AK82" s="174">
        <v>22</v>
      </c>
      <c r="AL82" s="169" t="str">
        <f t="shared" si="12"/>
        <v/>
      </c>
      <c r="AM82" s="247" t="e">
        <f t="shared" si="20"/>
        <v>#N/A</v>
      </c>
      <c r="AN82" s="247" t="e">
        <f t="shared" si="20"/>
        <v>#N/A</v>
      </c>
      <c r="AO82" s="247" t="e">
        <f t="shared" si="20"/>
        <v>#N/A</v>
      </c>
      <c r="AP82" s="246" t="e">
        <f t="shared" si="20"/>
        <v>#N/A</v>
      </c>
      <c r="AQ82" s="169" t="e">
        <f>NA()</f>
        <v>#N/A</v>
      </c>
      <c r="AR82" s="174"/>
      <c r="AU82" s="247" t="e">
        <f t="shared" si="16"/>
        <v>#N/A</v>
      </c>
      <c r="AV82" s="247" t="e">
        <f t="shared" si="21"/>
        <v>#N/A</v>
      </c>
      <c r="AW82" s="246" t="e">
        <f t="shared" si="21"/>
        <v>#N/A</v>
      </c>
    </row>
    <row r="83" spans="6:49" x14ac:dyDescent="0.25">
      <c r="F83" s="174"/>
      <c r="G83" s="169" t="s">
        <v>110</v>
      </c>
      <c r="M83" s="173"/>
      <c r="T83" s="251">
        <f>T78</f>
        <v>0.45</v>
      </c>
      <c r="U83" s="250">
        <f>U78</f>
        <v>0.443</v>
      </c>
      <c r="W83" s="174" t="s">
        <v>74</v>
      </c>
      <c r="X83" s="249" t="e">
        <f>#REF!</f>
        <v>#REF!</v>
      </c>
      <c r="Y83" s="249">
        <v>0.08</v>
      </c>
      <c r="Z83" s="249" t="e">
        <f>IF(Z82&gt;0,Z82,IF(SUM(#REF!)=0,0,AA83))</f>
        <v>#REF!</v>
      </c>
      <c r="AA83" s="173">
        <f>AA82</f>
        <v>0.2</v>
      </c>
      <c r="AK83" s="174">
        <v>23</v>
      </c>
      <c r="AL83" s="169" t="str">
        <f t="shared" si="12"/>
        <v/>
      </c>
      <c r="AM83" s="247" t="e">
        <f t="shared" si="20"/>
        <v>#N/A</v>
      </c>
      <c r="AN83" s="247" t="e">
        <f t="shared" si="20"/>
        <v>#N/A</v>
      </c>
      <c r="AO83" s="247" t="e">
        <f t="shared" si="20"/>
        <v>#N/A</v>
      </c>
      <c r="AP83" s="246" t="e">
        <f t="shared" si="20"/>
        <v>#N/A</v>
      </c>
      <c r="AQ83" s="169" t="e">
        <f>NA()</f>
        <v>#N/A</v>
      </c>
      <c r="AR83" s="174"/>
      <c r="AU83" s="247" t="e">
        <f t="shared" si="16"/>
        <v>#N/A</v>
      </c>
      <c r="AV83" s="247" t="e">
        <f t="shared" si="21"/>
        <v>#N/A</v>
      </c>
      <c r="AW83" s="246" t="e">
        <f t="shared" si="21"/>
        <v>#N/A</v>
      </c>
    </row>
    <row r="84" spans="6:49" x14ac:dyDescent="0.25">
      <c r="F84" s="174"/>
      <c r="G84" s="169" t="s">
        <v>109</v>
      </c>
      <c r="H84" s="169" t="s">
        <v>108</v>
      </c>
      <c r="I84" s="169" t="s">
        <v>107</v>
      </c>
      <c r="M84" s="173"/>
      <c r="T84" s="253">
        <f>G91</f>
        <v>0.3</v>
      </c>
      <c r="U84" s="254">
        <f>H91</f>
        <v>0.47</v>
      </c>
      <c r="W84" s="174" t="s">
        <v>73</v>
      </c>
      <c r="X84" s="249" t="e">
        <f>#REF!</f>
        <v>#REF!</v>
      </c>
      <c r="Y84" s="249">
        <v>0.08</v>
      </c>
      <c r="Z84" s="249" t="e">
        <f>IF(Z83&gt;0,Z83,IF(SUM(#REF!)=0,0,AA84))</f>
        <v>#REF!</v>
      </c>
      <c r="AA84" s="173">
        <f>AA83</f>
        <v>0.2</v>
      </c>
      <c r="AK84" s="174">
        <v>24</v>
      </c>
      <c r="AL84" s="169" t="str">
        <f t="shared" si="12"/>
        <v>No. 16</v>
      </c>
      <c r="AM84" s="247" t="e">
        <f t="shared" si="20"/>
        <v>#REF!</v>
      </c>
      <c r="AN84" s="247" t="e">
        <f t="shared" si="20"/>
        <v>#N/A</v>
      </c>
      <c r="AO84" s="247" t="e">
        <f t="shared" si="20"/>
        <v>#N/A</v>
      </c>
      <c r="AP84" s="246" t="e">
        <f t="shared" si="20"/>
        <v>#N/A</v>
      </c>
      <c r="AQ84" s="248">
        <f>AQ67</f>
        <v>1</v>
      </c>
      <c r="AR84" s="174"/>
      <c r="AU84" s="247" t="e">
        <f t="shared" si="16"/>
        <v>#VALUE!</v>
      </c>
      <c r="AV84" s="247" t="str">
        <f t="shared" si="21"/>
        <v/>
      </c>
      <c r="AW84" s="246" t="str">
        <f t="shared" si="21"/>
        <v/>
      </c>
    </row>
    <row r="85" spans="6:49" x14ac:dyDescent="0.25">
      <c r="F85" s="174"/>
      <c r="G85" s="249" t="e">
        <f>J58</f>
        <v>#REF!</v>
      </c>
      <c r="H85" s="185" t="e">
        <f>G85*SLOPE(H81:H82,G81:G82)+INTERCEPT(H81:H82,G81:G82)</f>
        <v>#REF!</v>
      </c>
      <c r="I85" s="249" t="e">
        <f>J61</f>
        <v>#REF!</v>
      </c>
      <c r="M85" s="173"/>
      <c r="T85" s="213" t="s">
        <v>137</v>
      </c>
      <c r="U85" s="195"/>
      <c r="W85" s="174" t="s">
        <v>72</v>
      </c>
      <c r="X85" s="249" t="e">
        <f>#REF!</f>
        <v>#REF!</v>
      </c>
      <c r="Y85" s="249">
        <v>0.08</v>
      </c>
      <c r="Z85" s="249" t="e">
        <f>IF(Z84&gt;0,Z84,IF(SUM(#REF!)=0,0,AA85))</f>
        <v>#REF!</v>
      </c>
      <c r="AA85" s="173">
        <f>AA84</f>
        <v>0.2</v>
      </c>
      <c r="AK85" s="174">
        <v>25</v>
      </c>
      <c r="AL85" s="169" t="str">
        <f t="shared" si="12"/>
        <v/>
      </c>
      <c r="AM85" s="247" t="e">
        <f t="shared" si="20"/>
        <v>#N/A</v>
      </c>
      <c r="AN85" s="247" t="e">
        <f t="shared" si="20"/>
        <v>#N/A</v>
      </c>
      <c r="AO85" s="247" t="e">
        <f t="shared" si="20"/>
        <v>#N/A</v>
      </c>
      <c r="AP85" s="246" t="e">
        <f t="shared" si="20"/>
        <v>#N/A</v>
      </c>
      <c r="AQ85" s="169" t="e">
        <f>NA()</f>
        <v>#N/A</v>
      </c>
      <c r="AR85" s="174"/>
      <c r="AU85" s="247" t="e">
        <f t="shared" si="16"/>
        <v>#N/A</v>
      </c>
      <c r="AV85" s="247" t="e">
        <f t="shared" si="21"/>
        <v>#N/A</v>
      </c>
      <c r="AW85" s="246" t="e">
        <f t="shared" si="21"/>
        <v>#N/A</v>
      </c>
    </row>
    <row r="86" spans="6:49" x14ac:dyDescent="0.25">
      <c r="F86" s="174"/>
      <c r="I86" s="169" t="s">
        <v>136</v>
      </c>
      <c r="J86" s="169" t="e">
        <f>IF(I85&lt;=H85,TRUE,FALSE)</f>
        <v>#REF!</v>
      </c>
      <c r="M86" s="173"/>
      <c r="T86" s="251">
        <f>T80</f>
        <v>0.75</v>
      </c>
      <c r="U86" s="173">
        <f>U81+1/3*(U80-U81)*U90</f>
        <v>0.30499999999999999</v>
      </c>
      <c r="W86" s="174" t="s">
        <v>71</v>
      </c>
      <c r="X86" s="249" t="e">
        <f>#REF!</f>
        <v>#REF!</v>
      </c>
      <c r="Y86" s="249">
        <v>0.08</v>
      </c>
      <c r="Z86" s="249" t="e">
        <f>IF(Z85&gt;0,Z85,IF(SUM(#REF!)=0,0,AA86))</f>
        <v>#REF!</v>
      </c>
      <c r="AA86" s="173">
        <f>AA85</f>
        <v>0.2</v>
      </c>
      <c r="AK86" s="174">
        <v>26</v>
      </c>
      <c r="AL86" s="169" t="str">
        <f t="shared" si="12"/>
        <v/>
      </c>
      <c r="AM86" s="247" t="e">
        <f t="shared" si="20"/>
        <v>#N/A</v>
      </c>
      <c r="AN86" s="247" t="e">
        <f t="shared" si="20"/>
        <v>#N/A</v>
      </c>
      <c r="AO86" s="247" t="e">
        <f t="shared" si="20"/>
        <v>#N/A</v>
      </c>
      <c r="AP86" s="246" t="e">
        <f t="shared" si="20"/>
        <v>#N/A</v>
      </c>
      <c r="AQ86" s="169" t="e">
        <f>NA()</f>
        <v>#N/A</v>
      </c>
      <c r="AR86" s="174"/>
      <c r="AU86" s="247" t="e">
        <f t="shared" si="16"/>
        <v>#N/A</v>
      </c>
      <c r="AV86" s="247" t="e">
        <f t="shared" si="21"/>
        <v>#N/A</v>
      </c>
      <c r="AW86" s="246" t="e">
        <f t="shared" si="21"/>
        <v>#N/A</v>
      </c>
    </row>
    <row r="87" spans="6:49" x14ac:dyDescent="0.25">
      <c r="F87" s="174" t="s">
        <v>135</v>
      </c>
      <c r="M87" s="173"/>
      <c r="T87" s="251">
        <f>T77</f>
        <v>0.45</v>
      </c>
      <c r="U87" s="173">
        <f>U77+1/3*(U78-U77)*U90</f>
        <v>0.35899999999999999</v>
      </c>
      <c r="W87" s="174" t="s">
        <v>70</v>
      </c>
      <c r="X87" s="249" t="e">
        <f>#REF!</f>
        <v>#REF!</v>
      </c>
      <c r="Y87" s="249">
        <v>0.08</v>
      </c>
      <c r="Z87" s="249" t="e">
        <f>IF(Z86&gt;0,Z86,IF(SUM(#REF!)=0,0,AA87))</f>
        <v>#REF!</v>
      </c>
      <c r="AA87" s="173">
        <f>AA86</f>
        <v>0.2</v>
      </c>
      <c r="AK87" s="174">
        <v>27</v>
      </c>
      <c r="AL87" s="169" t="str">
        <f t="shared" si="12"/>
        <v/>
      </c>
      <c r="AM87" s="247" t="e">
        <f t="shared" si="20"/>
        <v>#N/A</v>
      </c>
      <c r="AN87" s="247" t="e">
        <f t="shared" si="20"/>
        <v>#N/A</v>
      </c>
      <c r="AO87" s="247" t="e">
        <f t="shared" si="20"/>
        <v>#N/A</v>
      </c>
      <c r="AP87" s="246" t="e">
        <f t="shared" si="20"/>
        <v>#N/A</v>
      </c>
      <c r="AQ87" s="169" t="e">
        <f>NA()</f>
        <v>#N/A</v>
      </c>
      <c r="AR87" s="174"/>
      <c r="AU87" s="247" t="e">
        <f t="shared" si="16"/>
        <v>#N/A</v>
      </c>
      <c r="AV87" s="247" t="e">
        <f t="shared" si="21"/>
        <v>#N/A</v>
      </c>
      <c r="AW87" s="246" t="e">
        <f t="shared" si="21"/>
        <v>#N/A</v>
      </c>
    </row>
    <row r="88" spans="6:49" x14ac:dyDescent="0.25">
      <c r="F88" s="174"/>
      <c r="G88" s="169" t="s">
        <v>113</v>
      </c>
      <c r="M88" s="173"/>
      <c r="T88" s="251">
        <f>T87</f>
        <v>0.45</v>
      </c>
      <c r="U88" s="173">
        <f>U77+2/3*(U78-U77)*U90</f>
        <v>0.39500000000000002</v>
      </c>
      <c r="W88" s="174" t="s">
        <v>69</v>
      </c>
      <c r="X88" s="249" t="e">
        <f>#REF!</f>
        <v>#REF!</v>
      </c>
      <c r="Y88" s="249">
        <v>0.08</v>
      </c>
      <c r="Z88" s="249">
        <v>0.15</v>
      </c>
      <c r="AA88" s="173"/>
      <c r="AK88" s="174">
        <v>28</v>
      </c>
      <c r="AL88" s="169" t="str">
        <f t="shared" si="12"/>
        <v/>
      </c>
      <c r="AM88" s="247" t="e">
        <f t="shared" si="20"/>
        <v>#N/A</v>
      </c>
      <c r="AN88" s="247" t="e">
        <f t="shared" si="20"/>
        <v>#N/A</v>
      </c>
      <c r="AO88" s="247" t="e">
        <f t="shared" si="20"/>
        <v>#N/A</v>
      </c>
      <c r="AP88" s="246" t="e">
        <f t="shared" si="20"/>
        <v>#N/A</v>
      </c>
      <c r="AQ88" s="169" t="e">
        <f>NA()</f>
        <v>#N/A</v>
      </c>
      <c r="AR88" s="174"/>
      <c r="AU88" s="247" t="e">
        <f t="shared" si="16"/>
        <v>#N/A</v>
      </c>
      <c r="AV88" s="247" t="e">
        <f t="shared" si="21"/>
        <v>#N/A</v>
      </c>
      <c r="AW88" s="246" t="e">
        <f t="shared" si="21"/>
        <v>#N/A</v>
      </c>
    </row>
    <row r="89" spans="6:49" x14ac:dyDescent="0.25">
      <c r="F89" s="174"/>
      <c r="G89" s="169" t="s">
        <v>112</v>
      </c>
      <c r="H89" s="169" t="s">
        <v>111</v>
      </c>
      <c r="M89" s="173"/>
      <c r="T89" s="253">
        <f>T86</f>
        <v>0.75</v>
      </c>
      <c r="U89" s="170">
        <f>U81+2/3*(U80-U81)*U90</f>
        <v>0.34100000000000003</v>
      </c>
      <c r="W89" s="174" t="s">
        <v>68</v>
      </c>
      <c r="X89" s="249" t="e">
        <f>#REF!</f>
        <v>#REF!</v>
      </c>
      <c r="Y89" s="249">
        <v>0.08</v>
      </c>
      <c r="Z89" s="249">
        <v>0.15</v>
      </c>
      <c r="AA89" s="173"/>
      <c r="AK89" s="174">
        <v>29</v>
      </c>
      <c r="AL89" s="169" t="str">
        <f t="shared" si="12"/>
        <v/>
      </c>
      <c r="AM89" s="247" t="e">
        <f t="shared" si="20"/>
        <v>#N/A</v>
      </c>
      <c r="AN89" s="247" t="e">
        <f t="shared" si="20"/>
        <v>#N/A</v>
      </c>
      <c r="AO89" s="247" t="e">
        <f t="shared" si="20"/>
        <v>#N/A</v>
      </c>
      <c r="AP89" s="246" t="e">
        <f t="shared" si="20"/>
        <v>#N/A</v>
      </c>
      <c r="AQ89" s="169" t="e">
        <f>NA()</f>
        <v>#N/A</v>
      </c>
      <c r="AR89" s="174"/>
      <c r="AU89" s="247" t="e">
        <f t="shared" si="16"/>
        <v>#N/A</v>
      </c>
      <c r="AV89" s="247" t="e">
        <f t="shared" si="21"/>
        <v>#N/A</v>
      </c>
      <c r="AW89" s="246" t="e">
        <f t="shared" si="21"/>
        <v>#N/A</v>
      </c>
    </row>
    <row r="90" spans="6:49" x14ac:dyDescent="0.25">
      <c r="F90" s="174"/>
      <c r="G90" s="248">
        <v>0.8</v>
      </c>
      <c r="H90" s="248">
        <v>0.38</v>
      </c>
      <c r="M90" s="173"/>
      <c r="T90" s="234" t="s">
        <v>134</v>
      </c>
      <c r="U90" s="233">
        <v>0.9</v>
      </c>
      <c r="W90" s="174" t="s">
        <v>67</v>
      </c>
      <c r="X90" s="249" t="e">
        <f>#REF!</f>
        <v>#REF!</v>
      </c>
      <c r="Y90" s="249">
        <v>0</v>
      </c>
      <c r="Z90" s="249">
        <v>7.4999999999999997E-2</v>
      </c>
      <c r="AA90" s="173"/>
      <c r="AK90" s="174">
        <v>30</v>
      </c>
      <c r="AL90" s="169" t="str">
        <f t="shared" si="12"/>
        <v/>
      </c>
      <c r="AM90" s="247" t="e">
        <f t="shared" si="20"/>
        <v>#N/A</v>
      </c>
      <c r="AN90" s="247" t="e">
        <f t="shared" si="20"/>
        <v>#N/A</v>
      </c>
      <c r="AO90" s="247" t="e">
        <f t="shared" si="20"/>
        <v>#N/A</v>
      </c>
      <c r="AP90" s="246" t="e">
        <f t="shared" si="20"/>
        <v>#N/A</v>
      </c>
      <c r="AQ90" s="169" t="e">
        <f>NA()</f>
        <v>#N/A</v>
      </c>
      <c r="AR90" s="174"/>
      <c r="AU90" s="247" t="e">
        <f t="shared" si="16"/>
        <v>#N/A</v>
      </c>
      <c r="AV90" s="247" t="e">
        <f t="shared" si="21"/>
        <v>#N/A</v>
      </c>
      <c r="AW90" s="246" t="e">
        <f t="shared" si="21"/>
        <v>#N/A</v>
      </c>
    </row>
    <row r="91" spans="6:49" x14ac:dyDescent="0.25">
      <c r="F91" s="174"/>
      <c r="G91" s="248">
        <v>0.3</v>
      </c>
      <c r="H91" s="248">
        <v>0.47</v>
      </c>
      <c r="M91" s="173"/>
      <c r="W91" s="172" t="s">
        <v>66</v>
      </c>
      <c r="X91" s="252" t="e">
        <f>#REF!</f>
        <v>#REF!</v>
      </c>
      <c r="Y91" s="252">
        <v>0</v>
      </c>
      <c r="Z91" s="252">
        <v>0</v>
      </c>
      <c r="AA91" s="170"/>
      <c r="AK91" s="174">
        <v>31</v>
      </c>
      <c r="AL91" s="169" t="str">
        <f t="shared" si="12"/>
        <v/>
      </c>
      <c r="AM91" s="247" t="e">
        <f t="shared" si="20"/>
        <v>#N/A</v>
      </c>
      <c r="AN91" s="247" t="e">
        <f t="shared" si="20"/>
        <v>#N/A</v>
      </c>
      <c r="AO91" s="247" t="e">
        <f t="shared" si="20"/>
        <v>#N/A</v>
      </c>
      <c r="AP91" s="246" t="e">
        <f t="shared" si="20"/>
        <v>#N/A</v>
      </c>
      <c r="AQ91" s="169" t="e">
        <f>NA()</f>
        <v>#N/A</v>
      </c>
      <c r="AR91" s="174"/>
      <c r="AU91" s="247" t="e">
        <f t="shared" si="16"/>
        <v>#N/A</v>
      </c>
      <c r="AV91" s="247" t="e">
        <f t="shared" si="21"/>
        <v>#N/A</v>
      </c>
      <c r="AW91" s="246" t="e">
        <f t="shared" si="21"/>
        <v>#N/A</v>
      </c>
    </row>
    <row r="92" spans="6:49" x14ac:dyDescent="0.25">
      <c r="F92" s="174"/>
      <c r="G92" s="169" t="s">
        <v>110</v>
      </c>
      <c r="M92" s="173"/>
      <c r="AK92" s="174">
        <v>32</v>
      </c>
      <c r="AL92" s="169" t="str">
        <f t="shared" ref="AL92:AL123" si="22">IF(ISNA(VLOOKUP($AK92,$AK$43:$AP$56,AL$59,FALSE)),"",VLOOKUP($AK92,$AK$43:$AP$56,AL$59,FALSE))</f>
        <v/>
      </c>
      <c r="AM92" s="247" t="e">
        <f t="shared" si="20"/>
        <v>#N/A</v>
      </c>
      <c r="AN92" s="247" t="e">
        <f t="shared" si="20"/>
        <v>#N/A</v>
      </c>
      <c r="AO92" s="247" t="e">
        <f t="shared" si="20"/>
        <v>#N/A</v>
      </c>
      <c r="AP92" s="246" t="e">
        <f t="shared" si="20"/>
        <v>#N/A</v>
      </c>
      <c r="AQ92" s="169" t="e">
        <f>NA()</f>
        <v>#N/A</v>
      </c>
      <c r="AR92" s="174"/>
      <c r="AU92" s="247" t="e">
        <f t="shared" si="16"/>
        <v>#N/A</v>
      </c>
      <c r="AV92" s="247" t="e">
        <f t="shared" si="21"/>
        <v>#N/A</v>
      </c>
      <c r="AW92" s="246" t="e">
        <f t="shared" si="21"/>
        <v>#N/A</v>
      </c>
    </row>
    <row r="93" spans="6:49" x14ac:dyDescent="0.25">
      <c r="F93" s="174"/>
      <c r="G93" s="169" t="s">
        <v>109</v>
      </c>
      <c r="H93" s="169" t="s">
        <v>108</v>
      </c>
      <c r="I93" s="169" t="s">
        <v>107</v>
      </c>
      <c r="M93" s="173"/>
      <c r="AK93" s="174">
        <v>33</v>
      </c>
      <c r="AL93" s="169" t="str">
        <f t="shared" si="22"/>
        <v>No. 8</v>
      </c>
      <c r="AM93" s="247" t="e">
        <f t="shared" si="20"/>
        <v>#REF!</v>
      </c>
      <c r="AN93" s="247" t="e">
        <f t="shared" si="20"/>
        <v>#N/A</v>
      </c>
      <c r="AO93" s="247" t="e">
        <f t="shared" si="20"/>
        <v>#N/A</v>
      </c>
      <c r="AP93" s="246" t="e">
        <f t="shared" si="20"/>
        <v>#N/A</v>
      </c>
      <c r="AQ93" s="248">
        <f>AQ67</f>
        <v>1</v>
      </c>
      <c r="AR93" s="174"/>
      <c r="AU93" s="247" t="e">
        <f t="shared" ref="AU93:AU124" si="23">IF(ISBLANK(VLOOKUP($AK93,$AK$43:$AU$56,AU$59,FALSE)),NA(),VLOOKUP($AK93,$AK$43:$AU$56,AU$59,FALSE))</f>
        <v>#VALUE!</v>
      </c>
      <c r="AV93" s="247" t="str">
        <f t="shared" si="21"/>
        <v/>
      </c>
      <c r="AW93" s="246" t="str">
        <f t="shared" si="21"/>
        <v/>
      </c>
    </row>
    <row r="94" spans="6:49" x14ac:dyDescent="0.25">
      <c r="F94" s="174"/>
      <c r="G94" s="249" t="e">
        <f>G85</f>
        <v>#REF!</v>
      </c>
      <c r="H94" s="185" t="e">
        <f>G94*SLOPE(H90:H91,G90:G91)+INTERCEPT(H90:H91,G90:G91)</f>
        <v>#REF!</v>
      </c>
      <c r="I94" s="249" t="e">
        <f>I85</f>
        <v>#REF!</v>
      </c>
      <c r="M94" s="173"/>
      <c r="AK94" s="174">
        <v>34</v>
      </c>
      <c r="AL94" s="169" t="str">
        <f t="shared" si="22"/>
        <v/>
      </c>
      <c r="AM94" s="247" t="e">
        <f t="shared" si="20"/>
        <v>#N/A</v>
      </c>
      <c r="AN94" s="247" t="e">
        <f t="shared" si="20"/>
        <v>#N/A</v>
      </c>
      <c r="AO94" s="247" t="e">
        <f t="shared" si="20"/>
        <v>#N/A</v>
      </c>
      <c r="AP94" s="246" t="e">
        <f t="shared" si="20"/>
        <v>#N/A</v>
      </c>
      <c r="AQ94" s="169" t="e">
        <f>NA()</f>
        <v>#N/A</v>
      </c>
      <c r="AR94" s="174"/>
      <c r="AU94" s="247" t="e">
        <f t="shared" si="23"/>
        <v>#N/A</v>
      </c>
      <c r="AV94" s="247" t="e">
        <f t="shared" si="21"/>
        <v>#N/A</v>
      </c>
      <c r="AW94" s="246" t="e">
        <f t="shared" si="21"/>
        <v>#N/A</v>
      </c>
    </row>
    <row r="95" spans="6:49" x14ac:dyDescent="0.25">
      <c r="F95" s="174"/>
      <c r="I95" s="169" t="s">
        <v>133</v>
      </c>
      <c r="J95" s="169" t="e">
        <f>IF(I94&gt;=H94,TRUE,FALSE)</f>
        <v>#REF!</v>
      </c>
      <c r="M95" s="173"/>
      <c r="AK95" s="174">
        <v>35</v>
      </c>
      <c r="AL95" s="169" t="str">
        <f t="shared" si="22"/>
        <v/>
      </c>
      <c r="AM95" s="247" t="e">
        <f t="shared" si="20"/>
        <v>#N/A</v>
      </c>
      <c r="AN95" s="247" t="e">
        <f t="shared" si="20"/>
        <v>#N/A</v>
      </c>
      <c r="AO95" s="247" t="e">
        <f t="shared" si="20"/>
        <v>#N/A</v>
      </c>
      <c r="AP95" s="246" t="e">
        <f t="shared" si="20"/>
        <v>#N/A</v>
      </c>
      <c r="AQ95" s="169" t="e">
        <f>NA()</f>
        <v>#N/A</v>
      </c>
      <c r="AR95" s="174"/>
      <c r="AU95" s="247" t="e">
        <f t="shared" si="23"/>
        <v>#N/A</v>
      </c>
      <c r="AV95" s="247" t="e">
        <f t="shared" si="21"/>
        <v>#N/A</v>
      </c>
      <c r="AW95" s="246" t="e">
        <f t="shared" si="21"/>
        <v>#N/A</v>
      </c>
    </row>
    <row r="96" spans="6:49" x14ac:dyDescent="0.25">
      <c r="F96" s="174" t="s">
        <v>132</v>
      </c>
      <c r="M96" s="173"/>
      <c r="AK96" s="174">
        <v>36</v>
      </c>
      <c r="AL96" s="169" t="str">
        <f t="shared" si="22"/>
        <v/>
      </c>
      <c r="AM96" s="247" t="e">
        <f t="shared" si="20"/>
        <v>#N/A</v>
      </c>
      <c r="AN96" s="247" t="e">
        <f t="shared" si="20"/>
        <v>#N/A</v>
      </c>
      <c r="AO96" s="247" t="e">
        <f t="shared" si="20"/>
        <v>#N/A</v>
      </c>
      <c r="AP96" s="246" t="e">
        <f t="shared" si="20"/>
        <v>#N/A</v>
      </c>
      <c r="AQ96" s="169" t="e">
        <f>NA()</f>
        <v>#N/A</v>
      </c>
      <c r="AR96" s="174"/>
      <c r="AU96" s="247" t="e">
        <f t="shared" si="23"/>
        <v>#N/A</v>
      </c>
      <c r="AV96" s="247" t="e">
        <f t="shared" si="21"/>
        <v>#N/A</v>
      </c>
      <c r="AW96" s="246" t="e">
        <f t="shared" si="21"/>
        <v>#N/A</v>
      </c>
    </row>
    <row r="97" spans="6:49" x14ac:dyDescent="0.25">
      <c r="F97" s="174"/>
      <c r="G97" s="184" t="s">
        <v>131</v>
      </c>
      <c r="H97" s="169" t="e">
        <f>IF(OR(J86,J95),TRUE, FALSE)</f>
        <v>#REF!</v>
      </c>
      <c r="M97" s="173"/>
      <c r="AK97" s="174">
        <v>37</v>
      </c>
      <c r="AL97" s="169" t="str">
        <f t="shared" si="22"/>
        <v/>
      </c>
      <c r="AM97" s="247" t="e">
        <f t="shared" si="20"/>
        <v>#N/A</v>
      </c>
      <c r="AN97" s="247" t="e">
        <f t="shared" si="20"/>
        <v>#N/A</v>
      </c>
      <c r="AO97" s="247" t="e">
        <f t="shared" si="20"/>
        <v>#N/A</v>
      </c>
      <c r="AP97" s="246" t="e">
        <f t="shared" si="20"/>
        <v>#N/A</v>
      </c>
      <c r="AQ97" s="169" t="e">
        <f>NA()</f>
        <v>#N/A</v>
      </c>
      <c r="AR97" s="174"/>
      <c r="AU97" s="247" t="e">
        <f t="shared" si="23"/>
        <v>#N/A</v>
      </c>
      <c r="AV97" s="247" t="e">
        <f t="shared" si="21"/>
        <v>#N/A</v>
      </c>
      <c r="AW97" s="246" t="e">
        <f t="shared" si="21"/>
        <v>#N/A</v>
      </c>
    </row>
    <row r="98" spans="6:49" x14ac:dyDescent="0.25">
      <c r="F98" s="174"/>
      <c r="G98" s="184" t="s">
        <v>130</v>
      </c>
      <c r="H98" s="249" t="e">
        <f>G94</f>
        <v>#REF!</v>
      </c>
      <c r="M98" s="173"/>
      <c r="AK98" s="174">
        <v>38</v>
      </c>
      <c r="AL98" s="169" t="str">
        <f t="shared" si="22"/>
        <v/>
      </c>
      <c r="AM98" s="247" t="e">
        <f t="shared" si="20"/>
        <v>#N/A</v>
      </c>
      <c r="AN98" s="247" t="e">
        <f t="shared" si="20"/>
        <v>#N/A</v>
      </c>
      <c r="AO98" s="247" t="e">
        <f t="shared" si="20"/>
        <v>#N/A</v>
      </c>
      <c r="AP98" s="246" t="e">
        <f t="shared" si="20"/>
        <v>#N/A</v>
      </c>
      <c r="AQ98" s="169" t="e">
        <f>NA()</f>
        <v>#N/A</v>
      </c>
      <c r="AR98" s="174"/>
      <c r="AU98" s="247" t="e">
        <f t="shared" si="23"/>
        <v>#N/A</v>
      </c>
      <c r="AV98" s="247" t="e">
        <f t="shared" si="21"/>
        <v>#N/A</v>
      </c>
      <c r="AW98" s="246" t="e">
        <f t="shared" si="21"/>
        <v>#N/A</v>
      </c>
    </row>
    <row r="99" spans="6:49" x14ac:dyDescent="0.25">
      <c r="F99" s="174"/>
      <c r="G99" s="169" t="s">
        <v>129</v>
      </c>
      <c r="H99" s="169" t="s">
        <v>128</v>
      </c>
      <c r="M99" s="173"/>
      <c r="AK99" s="174">
        <v>39</v>
      </c>
      <c r="AL99" s="169" t="str">
        <f t="shared" si="22"/>
        <v/>
      </c>
      <c r="AM99" s="247" t="e">
        <f t="shared" si="20"/>
        <v>#N/A</v>
      </c>
      <c r="AN99" s="247" t="e">
        <f t="shared" si="20"/>
        <v>#N/A</v>
      </c>
      <c r="AO99" s="247" t="e">
        <f t="shared" si="20"/>
        <v>#N/A</v>
      </c>
      <c r="AP99" s="246" t="e">
        <f t="shared" si="20"/>
        <v>#N/A</v>
      </c>
      <c r="AQ99" s="169" t="e">
        <f>NA()</f>
        <v>#N/A</v>
      </c>
      <c r="AR99" s="174"/>
      <c r="AU99" s="247" t="e">
        <f t="shared" si="23"/>
        <v>#N/A</v>
      </c>
      <c r="AV99" s="247" t="e">
        <f t="shared" si="21"/>
        <v>#N/A</v>
      </c>
      <c r="AW99" s="246" t="e">
        <f t="shared" si="21"/>
        <v>#N/A</v>
      </c>
    </row>
    <row r="100" spans="6:49" x14ac:dyDescent="0.25">
      <c r="F100" s="174"/>
      <c r="G100" s="169">
        <v>1</v>
      </c>
      <c r="H100" s="248">
        <v>0.75</v>
      </c>
      <c r="I100" s="169" t="e">
        <f>IF(AND(NOT(H97),H98&gt;=H100),TRUE,FALSE)</f>
        <v>#REF!</v>
      </c>
      <c r="M100" s="173"/>
      <c r="AK100" s="174">
        <v>40</v>
      </c>
      <c r="AL100" s="169" t="str">
        <f t="shared" si="22"/>
        <v/>
      </c>
      <c r="AM100" s="247" t="e">
        <f t="shared" ref="AM100:AP119" si="24">IF(ISBLANK(VLOOKUP($AK100,$AK$43:$AP$56,AM$59,FALSE)),NA(),VLOOKUP($AK100,$AK$43:$AP$56,AM$59,FALSE))</f>
        <v>#N/A</v>
      </c>
      <c r="AN100" s="247" t="e">
        <f t="shared" si="24"/>
        <v>#N/A</v>
      </c>
      <c r="AO100" s="247" t="e">
        <f t="shared" si="24"/>
        <v>#N/A</v>
      </c>
      <c r="AP100" s="246" t="e">
        <f t="shared" si="24"/>
        <v>#N/A</v>
      </c>
      <c r="AQ100" s="169" t="e">
        <f>NA()</f>
        <v>#N/A</v>
      </c>
      <c r="AR100" s="174"/>
      <c r="AU100" s="247" t="e">
        <f t="shared" si="23"/>
        <v>#N/A</v>
      </c>
      <c r="AV100" s="247" t="e">
        <f t="shared" si="21"/>
        <v>#N/A</v>
      </c>
      <c r="AW100" s="246" t="e">
        <f t="shared" si="21"/>
        <v>#N/A</v>
      </c>
    </row>
    <row r="101" spans="6:49" x14ac:dyDescent="0.25">
      <c r="F101" s="174"/>
      <c r="G101" s="169">
        <v>2</v>
      </c>
      <c r="H101" s="248">
        <v>0.45</v>
      </c>
      <c r="I101" s="169" t="e">
        <f>IF(AND(NOT(H97),H98&gt;=H101,NOT(I100)),TRUE,FALSE)</f>
        <v>#REF!</v>
      </c>
      <c r="M101" s="173"/>
      <c r="AK101" s="174">
        <v>41</v>
      </c>
      <c r="AL101" s="169" t="str">
        <f t="shared" si="22"/>
        <v/>
      </c>
      <c r="AM101" s="247" t="e">
        <f t="shared" si="24"/>
        <v>#N/A</v>
      </c>
      <c r="AN101" s="247" t="e">
        <f t="shared" si="24"/>
        <v>#N/A</v>
      </c>
      <c r="AO101" s="247" t="e">
        <f t="shared" si="24"/>
        <v>#N/A</v>
      </c>
      <c r="AP101" s="246" t="e">
        <f t="shared" si="24"/>
        <v>#N/A</v>
      </c>
      <c r="AQ101" s="169" t="e">
        <f>NA()</f>
        <v>#N/A</v>
      </c>
      <c r="AR101" s="174"/>
      <c r="AU101" s="247" t="e">
        <f t="shared" si="23"/>
        <v>#N/A</v>
      </c>
      <c r="AV101" s="247" t="e">
        <f t="shared" ref="AV101:AW120" si="25">IF(ISBLANK(VLOOKUP($AK101,$AK$43:$AW$56,AV$59,FALSE)),NA(),VLOOKUP($AK101,$AK$43:$AW$56,AV$59,FALSE))</f>
        <v>#N/A</v>
      </c>
      <c r="AW101" s="246" t="e">
        <f t="shared" si="25"/>
        <v>#N/A</v>
      </c>
    </row>
    <row r="102" spans="6:49" x14ac:dyDescent="0.25">
      <c r="F102" s="174"/>
      <c r="G102" s="169">
        <v>3</v>
      </c>
      <c r="H102" s="248">
        <v>0</v>
      </c>
      <c r="I102" s="169" t="e">
        <f>IF(AND(NOT(H97),H98&gt;=H102,NOT(I101),NOT(I100)),TRUE,FALSE)</f>
        <v>#REF!</v>
      </c>
      <c r="M102" s="173"/>
      <c r="AK102" s="174">
        <v>42</v>
      </c>
      <c r="AL102" s="169" t="str">
        <f t="shared" si="22"/>
        <v/>
      </c>
      <c r="AM102" s="247" t="e">
        <f t="shared" si="24"/>
        <v>#N/A</v>
      </c>
      <c r="AN102" s="247" t="e">
        <f t="shared" si="24"/>
        <v>#N/A</v>
      </c>
      <c r="AO102" s="247" t="e">
        <f t="shared" si="24"/>
        <v>#N/A</v>
      </c>
      <c r="AP102" s="246" t="e">
        <f t="shared" si="24"/>
        <v>#N/A</v>
      </c>
      <c r="AQ102" s="169" t="e">
        <f>NA()</f>
        <v>#N/A</v>
      </c>
      <c r="AR102" s="174"/>
      <c r="AU102" s="247" t="e">
        <f t="shared" si="23"/>
        <v>#N/A</v>
      </c>
      <c r="AV102" s="247" t="e">
        <f t="shared" si="25"/>
        <v>#N/A</v>
      </c>
      <c r="AW102" s="246" t="e">
        <f t="shared" si="25"/>
        <v>#N/A</v>
      </c>
    </row>
    <row r="103" spans="6:49" x14ac:dyDescent="0.25">
      <c r="F103" s="174"/>
      <c r="M103" s="173"/>
      <c r="AK103" s="174">
        <v>43</v>
      </c>
      <c r="AL103" s="169" t="str">
        <f t="shared" si="22"/>
        <v/>
      </c>
      <c r="AM103" s="247" t="e">
        <f t="shared" si="24"/>
        <v>#N/A</v>
      </c>
      <c r="AN103" s="247" t="e">
        <f t="shared" si="24"/>
        <v>#N/A</v>
      </c>
      <c r="AO103" s="247" t="e">
        <f t="shared" si="24"/>
        <v>#N/A</v>
      </c>
      <c r="AP103" s="246" t="e">
        <f t="shared" si="24"/>
        <v>#N/A</v>
      </c>
      <c r="AQ103" s="169" t="e">
        <f>NA()</f>
        <v>#N/A</v>
      </c>
      <c r="AR103" s="174"/>
      <c r="AU103" s="247" t="e">
        <f t="shared" si="23"/>
        <v>#N/A</v>
      </c>
      <c r="AV103" s="247" t="e">
        <f t="shared" si="25"/>
        <v>#N/A</v>
      </c>
      <c r="AW103" s="246" t="e">
        <f t="shared" si="25"/>
        <v>#N/A</v>
      </c>
    </row>
    <row r="104" spans="6:49" x14ac:dyDescent="0.25">
      <c r="F104" s="174" t="e">
        <f>I100</f>
        <v>#REF!</v>
      </c>
      <c r="G104" s="169" t="s">
        <v>127</v>
      </c>
      <c r="H104" s="169" t="s">
        <v>126</v>
      </c>
      <c r="I104" s="169" t="str">
        <f>G104&amp;", "&amp;H104</f>
        <v>Zone I , Gap-graded and tends to segregate</v>
      </c>
      <c r="M104" s="173"/>
      <c r="AK104" s="174">
        <v>44</v>
      </c>
      <c r="AL104" s="169" t="str">
        <f t="shared" si="22"/>
        <v/>
      </c>
      <c r="AM104" s="247" t="e">
        <f t="shared" si="24"/>
        <v>#N/A</v>
      </c>
      <c r="AN104" s="247" t="e">
        <f t="shared" si="24"/>
        <v>#N/A</v>
      </c>
      <c r="AO104" s="247" t="e">
        <f t="shared" si="24"/>
        <v>#N/A</v>
      </c>
      <c r="AP104" s="246" t="e">
        <f t="shared" si="24"/>
        <v>#N/A</v>
      </c>
      <c r="AQ104" s="169" t="e">
        <f>NA()</f>
        <v>#N/A</v>
      </c>
      <c r="AR104" s="174"/>
      <c r="AU104" s="247" t="e">
        <f t="shared" si="23"/>
        <v>#N/A</v>
      </c>
      <c r="AV104" s="247" t="e">
        <f t="shared" si="25"/>
        <v>#N/A</v>
      </c>
      <c r="AW104" s="246" t="e">
        <f t="shared" si="25"/>
        <v>#N/A</v>
      </c>
    </row>
    <row r="105" spans="6:49" x14ac:dyDescent="0.25">
      <c r="F105" s="174" t="e">
        <f>I101</f>
        <v>#REF!</v>
      </c>
      <c r="G105" s="169" t="s">
        <v>125</v>
      </c>
      <c r="H105" s="169" t="s">
        <v>124</v>
      </c>
      <c r="I105" s="169" t="str">
        <f>G105&amp;", "&amp;H105</f>
        <v>Zone II, Well graded 1-1/2 to 3/4 in.</v>
      </c>
      <c r="M105" s="173"/>
      <c r="AK105" s="174">
        <v>45</v>
      </c>
      <c r="AL105" s="169" t="str">
        <f t="shared" si="22"/>
        <v>No. 4</v>
      </c>
      <c r="AM105" s="247" t="e">
        <f t="shared" si="24"/>
        <v>#REF!</v>
      </c>
      <c r="AN105" s="247" t="e">
        <f t="shared" si="24"/>
        <v>#N/A</v>
      </c>
      <c r="AO105" s="247" t="e">
        <f t="shared" si="24"/>
        <v>#N/A</v>
      </c>
      <c r="AP105" s="246" t="e">
        <f t="shared" si="24"/>
        <v>#N/A</v>
      </c>
      <c r="AQ105" s="248">
        <f>AQ67</f>
        <v>1</v>
      </c>
      <c r="AR105" s="174"/>
      <c r="AU105" s="247" t="e">
        <f t="shared" si="23"/>
        <v>#VALUE!</v>
      </c>
      <c r="AV105" s="247" t="str">
        <f t="shared" si="25"/>
        <v/>
      </c>
      <c r="AW105" s="246" t="str">
        <f t="shared" si="25"/>
        <v/>
      </c>
    </row>
    <row r="106" spans="6:49" x14ac:dyDescent="0.25">
      <c r="F106" s="174" t="e">
        <f>I102</f>
        <v>#REF!</v>
      </c>
      <c r="G106" s="169" t="s">
        <v>123</v>
      </c>
      <c r="H106" s="169" t="s">
        <v>122</v>
      </c>
      <c r="I106" s="169" t="str">
        <f>G106&amp;", "&amp;H106</f>
        <v>Zone III, Well Graded 3/4 in. and finer</v>
      </c>
      <c r="M106" s="173"/>
      <c r="AK106" s="174">
        <v>46</v>
      </c>
      <c r="AL106" s="169" t="str">
        <f t="shared" si="22"/>
        <v/>
      </c>
      <c r="AM106" s="247" t="e">
        <f t="shared" si="24"/>
        <v>#N/A</v>
      </c>
      <c r="AN106" s="247" t="e">
        <f t="shared" si="24"/>
        <v>#N/A</v>
      </c>
      <c r="AO106" s="247" t="e">
        <f t="shared" si="24"/>
        <v>#N/A</v>
      </c>
      <c r="AP106" s="246" t="e">
        <f t="shared" si="24"/>
        <v>#N/A</v>
      </c>
      <c r="AQ106" s="169" t="e">
        <f>NA()</f>
        <v>#N/A</v>
      </c>
      <c r="AR106" s="174"/>
      <c r="AU106" s="247" t="e">
        <f t="shared" si="23"/>
        <v>#N/A</v>
      </c>
      <c r="AV106" s="247" t="e">
        <f t="shared" si="25"/>
        <v>#N/A</v>
      </c>
      <c r="AW106" s="246" t="e">
        <f t="shared" si="25"/>
        <v>#N/A</v>
      </c>
    </row>
    <row r="107" spans="6:49" x14ac:dyDescent="0.25">
      <c r="F107" s="174" t="e">
        <f>J95</f>
        <v>#REF!</v>
      </c>
      <c r="G107" s="169" t="s">
        <v>121</v>
      </c>
      <c r="H107" s="169" t="s">
        <v>120</v>
      </c>
      <c r="I107" s="169" t="str">
        <f>G107&amp;", "&amp;H107</f>
        <v>Zone IV, Sticky</v>
      </c>
      <c r="M107" s="173"/>
      <c r="AK107" s="174">
        <v>47</v>
      </c>
      <c r="AL107" s="169" t="str">
        <f t="shared" si="22"/>
        <v/>
      </c>
      <c r="AM107" s="247" t="e">
        <f t="shared" si="24"/>
        <v>#N/A</v>
      </c>
      <c r="AN107" s="247" t="e">
        <f t="shared" si="24"/>
        <v>#N/A</v>
      </c>
      <c r="AO107" s="247" t="e">
        <f t="shared" si="24"/>
        <v>#N/A</v>
      </c>
      <c r="AP107" s="246" t="e">
        <f t="shared" si="24"/>
        <v>#N/A</v>
      </c>
      <c r="AQ107" s="169" t="e">
        <f>NA()</f>
        <v>#N/A</v>
      </c>
      <c r="AR107" s="174"/>
      <c r="AU107" s="247" t="e">
        <f t="shared" si="23"/>
        <v>#N/A</v>
      </c>
      <c r="AV107" s="247" t="e">
        <f t="shared" si="25"/>
        <v>#N/A</v>
      </c>
      <c r="AW107" s="246" t="e">
        <f t="shared" si="25"/>
        <v>#N/A</v>
      </c>
    </row>
    <row r="108" spans="6:49" x14ac:dyDescent="0.25">
      <c r="F108" s="174" t="e">
        <f>J86</f>
        <v>#REF!</v>
      </c>
      <c r="G108" s="169" t="s">
        <v>119</v>
      </c>
      <c r="H108" s="169" t="s">
        <v>118</v>
      </c>
      <c r="I108" s="169" t="str">
        <f>G108&amp;", "&amp;H108</f>
        <v>Zone V, Rocky</v>
      </c>
      <c r="M108" s="173"/>
      <c r="AK108" s="174">
        <v>48</v>
      </c>
      <c r="AL108" s="169" t="str">
        <f t="shared" si="22"/>
        <v/>
      </c>
      <c r="AM108" s="247" t="e">
        <f t="shared" si="24"/>
        <v>#N/A</v>
      </c>
      <c r="AN108" s="247" t="e">
        <f t="shared" si="24"/>
        <v>#N/A</v>
      </c>
      <c r="AO108" s="247" t="e">
        <f t="shared" si="24"/>
        <v>#N/A</v>
      </c>
      <c r="AP108" s="246" t="e">
        <f t="shared" si="24"/>
        <v>#N/A</v>
      </c>
      <c r="AQ108" s="169" t="e">
        <f>NA()</f>
        <v>#N/A</v>
      </c>
      <c r="AR108" s="174"/>
      <c r="AU108" s="247" t="e">
        <f t="shared" si="23"/>
        <v>#N/A</v>
      </c>
      <c r="AV108" s="247" t="e">
        <f t="shared" si="25"/>
        <v>#N/A</v>
      </c>
      <c r="AW108" s="246" t="e">
        <f t="shared" si="25"/>
        <v>#N/A</v>
      </c>
    </row>
    <row r="109" spans="6:49" x14ac:dyDescent="0.25">
      <c r="F109" s="172" t="e">
        <f>VLOOKUP(TRUE,F104:I108,4,FALSE)</f>
        <v>#N/A</v>
      </c>
      <c r="G109" s="171"/>
      <c r="H109" s="171"/>
      <c r="I109" s="171"/>
      <c r="J109" s="171"/>
      <c r="K109" s="171"/>
      <c r="L109" s="171"/>
      <c r="M109" s="170"/>
      <c r="AK109" s="174">
        <v>49</v>
      </c>
      <c r="AL109" s="169" t="str">
        <f t="shared" si="22"/>
        <v/>
      </c>
      <c r="AM109" s="247" t="e">
        <f t="shared" si="24"/>
        <v>#N/A</v>
      </c>
      <c r="AN109" s="247" t="e">
        <f t="shared" si="24"/>
        <v>#N/A</v>
      </c>
      <c r="AO109" s="247" t="e">
        <f t="shared" si="24"/>
        <v>#N/A</v>
      </c>
      <c r="AP109" s="246" t="e">
        <f t="shared" si="24"/>
        <v>#N/A</v>
      </c>
      <c r="AQ109" s="169" t="e">
        <f>NA()</f>
        <v>#N/A</v>
      </c>
      <c r="AR109" s="174"/>
      <c r="AU109" s="247" t="e">
        <f t="shared" si="23"/>
        <v>#N/A</v>
      </c>
      <c r="AV109" s="247" t="e">
        <f t="shared" si="25"/>
        <v>#N/A</v>
      </c>
      <c r="AW109" s="246" t="e">
        <f t="shared" si="25"/>
        <v>#N/A</v>
      </c>
    </row>
    <row r="110" spans="6:49" x14ac:dyDescent="0.25">
      <c r="F110" s="213" t="s">
        <v>117</v>
      </c>
      <c r="G110" s="196"/>
      <c r="H110" s="196"/>
      <c r="I110" s="196"/>
      <c r="J110" s="196"/>
      <c r="K110" s="196"/>
      <c r="L110" s="196"/>
      <c r="M110" s="195"/>
      <c r="AK110" s="174">
        <v>50</v>
      </c>
      <c r="AL110" s="169" t="str">
        <f t="shared" si="22"/>
        <v/>
      </c>
      <c r="AM110" s="247" t="e">
        <f t="shared" si="24"/>
        <v>#N/A</v>
      </c>
      <c r="AN110" s="247" t="e">
        <f t="shared" si="24"/>
        <v>#N/A</v>
      </c>
      <c r="AO110" s="247" t="e">
        <f t="shared" si="24"/>
        <v>#N/A</v>
      </c>
      <c r="AP110" s="246" t="e">
        <f t="shared" si="24"/>
        <v>#N/A</v>
      </c>
      <c r="AQ110" s="169" t="e">
        <f>NA()</f>
        <v>#N/A</v>
      </c>
      <c r="AR110" s="174"/>
      <c r="AU110" s="247" t="e">
        <f t="shared" si="23"/>
        <v>#N/A</v>
      </c>
      <c r="AV110" s="247" t="e">
        <f t="shared" si="25"/>
        <v>#N/A</v>
      </c>
      <c r="AW110" s="246" t="e">
        <f t="shared" si="25"/>
        <v>#N/A</v>
      </c>
    </row>
    <row r="111" spans="6:49" x14ac:dyDescent="0.25">
      <c r="F111" s="174" t="s">
        <v>116</v>
      </c>
      <c r="M111" s="173"/>
      <c r="AK111" s="174">
        <v>51</v>
      </c>
      <c r="AL111" s="169" t="str">
        <f t="shared" si="22"/>
        <v/>
      </c>
      <c r="AM111" s="247" t="e">
        <f t="shared" si="24"/>
        <v>#N/A</v>
      </c>
      <c r="AN111" s="247" t="e">
        <f t="shared" si="24"/>
        <v>#N/A</v>
      </c>
      <c r="AO111" s="247" t="e">
        <f t="shared" si="24"/>
        <v>#N/A</v>
      </c>
      <c r="AP111" s="246" t="e">
        <f t="shared" si="24"/>
        <v>#N/A</v>
      </c>
      <c r="AQ111" s="169" t="e">
        <f>NA()</f>
        <v>#N/A</v>
      </c>
      <c r="AR111" s="174"/>
      <c r="AU111" s="247" t="e">
        <f t="shared" si="23"/>
        <v>#N/A</v>
      </c>
      <c r="AV111" s="247" t="e">
        <f t="shared" si="25"/>
        <v>#N/A</v>
      </c>
      <c r="AW111" s="246" t="e">
        <f t="shared" si="25"/>
        <v>#N/A</v>
      </c>
    </row>
    <row r="112" spans="6:49" x14ac:dyDescent="0.25">
      <c r="F112" s="174"/>
      <c r="G112" s="169" t="s">
        <v>113</v>
      </c>
      <c r="M112" s="173"/>
      <c r="AK112" s="174">
        <v>52</v>
      </c>
      <c r="AL112" s="169" t="str">
        <f t="shared" si="22"/>
        <v/>
      </c>
      <c r="AM112" s="247" t="e">
        <f t="shared" si="24"/>
        <v>#N/A</v>
      </c>
      <c r="AN112" s="247" t="e">
        <f t="shared" si="24"/>
        <v>#N/A</v>
      </c>
      <c r="AO112" s="247" t="e">
        <f t="shared" si="24"/>
        <v>#N/A</v>
      </c>
      <c r="AP112" s="246" t="e">
        <f t="shared" si="24"/>
        <v>#N/A</v>
      </c>
      <c r="AQ112" s="169" t="e">
        <f>NA()</f>
        <v>#N/A</v>
      </c>
      <c r="AR112" s="174"/>
      <c r="AU112" s="247" t="e">
        <f t="shared" si="23"/>
        <v>#N/A</v>
      </c>
      <c r="AV112" s="247" t="e">
        <f t="shared" si="25"/>
        <v>#N/A</v>
      </c>
      <c r="AW112" s="246" t="e">
        <f t="shared" si="25"/>
        <v>#N/A</v>
      </c>
    </row>
    <row r="113" spans="6:49" x14ac:dyDescent="0.25">
      <c r="F113" s="174"/>
      <c r="G113" s="169" t="s">
        <v>112</v>
      </c>
      <c r="H113" s="169" t="s">
        <v>111</v>
      </c>
      <c r="M113" s="173"/>
      <c r="AK113" s="174">
        <v>53</v>
      </c>
      <c r="AL113" s="169" t="str">
        <f t="shared" si="22"/>
        <v/>
      </c>
      <c r="AM113" s="247" t="e">
        <f t="shared" si="24"/>
        <v>#N/A</v>
      </c>
      <c r="AN113" s="247" t="e">
        <f t="shared" si="24"/>
        <v>#N/A</v>
      </c>
      <c r="AO113" s="247" t="e">
        <f t="shared" si="24"/>
        <v>#N/A</v>
      </c>
      <c r="AP113" s="246" t="e">
        <f t="shared" si="24"/>
        <v>#N/A</v>
      </c>
      <c r="AQ113" s="169" t="e">
        <f>NA()</f>
        <v>#N/A</v>
      </c>
      <c r="AR113" s="174"/>
      <c r="AU113" s="247" t="e">
        <f t="shared" si="23"/>
        <v>#N/A</v>
      </c>
      <c r="AV113" s="247" t="e">
        <f t="shared" si="25"/>
        <v>#N/A</v>
      </c>
      <c r="AW113" s="246" t="e">
        <f t="shared" si="25"/>
        <v>#N/A</v>
      </c>
    </row>
    <row r="114" spans="6:49" x14ac:dyDescent="0.25">
      <c r="F114" s="174"/>
      <c r="G114" s="251">
        <v>0.68</v>
      </c>
      <c r="H114" s="250">
        <v>0.32</v>
      </c>
      <c r="M114" s="173"/>
      <c r="AK114" s="174">
        <v>54</v>
      </c>
      <c r="AL114" s="169" t="str">
        <f t="shared" si="22"/>
        <v/>
      </c>
      <c r="AM114" s="247" t="e">
        <f t="shared" si="24"/>
        <v>#N/A</v>
      </c>
      <c r="AN114" s="247" t="e">
        <f t="shared" si="24"/>
        <v>#N/A</v>
      </c>
      <c r="AO114" s="247" t="e">
        <f t="shared" si="24"/>
        <v>#N/A</v>
      </c>
      <c r="AP114" s="246" t="e">
        <f t="shared" si="24"/>
        <v>#N/A</v>
      </c>
      <c r="AQ114" s="169" t="e">
        <f>NA()</f>
        <v>#N/A</v>
      </c>
      <c r="AR114" s="174"/>
      <c r="AU114" s="247" t="e">
        <f t="shared" si="23"/>
        <v>#N/A</v>
      </c>
      <c r="AV114" s="247" t="e">
        <f t="shared" si="25"/>
        <v>#N/A</v>
      </c>
      <c r="AW114" s="246" t="e">
        <f t="shared" si="25"/>
        <v>#N/A</v>
      </c>
    </row>
    <row r="115" spans="6:49" x14ac:dyDescent="0.25">
      <c r="F115" s="174"/>
      <c r="G115" s="251">
        <v>0.52</v>
      </c>
      <c r="H115" s="250">
        <v>0.34</v>
      </c>
      <c r="M115" s="173"/>
      <c r="AK115" s="174">
        <v>55</v>
      </c>
      <c r="AL115" s="169" t="str">
        <f t="shared" si="22"/>
        <v/>
      </c>
      <c r="AM115" s="247" t="e">
        <f t="shared" si="24"/>
        <v>#N/A</v>
      </c>
      <c r="AN115" s="247" t="e">
        <f t="shared" si="24"/>
        <v>#N/A</v>
      </c>
      <c r="AO115" s="247" t="e">
        <f t="shared" si="24"/>
        <v>#N/A</v>
      </c>
      <c r="AP115" s="246" t="e">
        <f t="shared" si="24"/>
        <v>#N/A</v>
      </c>
      <c r="AQ115" s="169" t="e">
        <f>NA()</f>
        <v>#N/A</v>
      </c>
      <c r="AR115" s="174"/>
      <c r="AU115" s="247" t="e">
        <f t="shared" si="23"/>
        <v>#N/A</v>
      </c>
      <c r="AV115" s="247" t="e">
        <f t="shared" si="25"/>
        <v>#N/A</v>
      </c>
      <c r="AW115" s="246" t="e">
        <f t="shared" si="25"/>
        <v>#N/A</v>
      </c>
    </row>
    <row r="116" spans="6:49" x14ac:dyDescent="0.25">
      <c r="F116" s="174"/>
      <c r="G116" s="169" t="s">
        <v>110</v>
      </c>
      <c r="M116" s="173"/>
      <c r="AK116" s="174">
        <v>56</v>
      </c>
      <c r="AL116" s="169" t="str">
        <f t="shared" si="22"/>
        <v/>
      </c>
      <c r="AM116" s="247" t="e">
        <f t="shared" si="24"/>
        <v>#N/A</v>
      </c>
      <c r="AN116" s="247" t="e">
        <f t="shared" si="24"/>
        <v>#N/A</v>
      </c>
      <c r="AO116" s="247" t="e">
        <f t="shared" si="24"/>
        <v>#N/A</v>
      </c>
      <c r="AP116" s="246" t="e">
        <f t="shared" si="24"/>
        <v>#N/A</v>
      </c>
      <c r="AQ116" s="169" t="e">
        <f>NA()</f>
        <v>#N/A</v>
      </c>
      <c r="AR116" s="174"/>
      <c r="AU116" s="247" t="e">
        <f t="shared" si="23"/>
        <v>#N/A</v>
      </c>
      <c r="AV116" s="247" t="e">
        <f t="shared" si="25"/>
        <v>#N/A</v>
      </c>
      <c r="AW116" s="246" t="e">
        <f t="shared" si="25"/>
        <v>#N/A</v>
      </c>
    </row>
    <row r="117" spans="6:49" x14ac:dyDescent="0.25">
      <c r="F117" s="174"/>
      <c r="G117" s="169" t="s">
        <v>109</v>
      </c>
      <c r="H117" s="169" t="s">
        <v>108</v>
      </c>
      <c r="I117" s="169" t="s">
        <v>107</v>
      </c>
      <c r="M117" s="173"/>
      <c r="AK117" s="174">
        <v>57</v>
      </c>
      <c r="AL117" s="169" t="str">
        <f t="shared" si="22"/>
        <v/>
      </c>
      <c r="AM117" s="247" t="e">
        <f t="shared" si="24"/>
        <v>#N/A</v>
      </c>
      <c r="AN117" s="247" t="e">
        <f t="shared" si="24"/>
        <v>#N/A</v>
      </c>
      <c r="AO117" s="247" t="e">
        <f t="shared" si="24"/>
        <v>#N/A</v>
      </c>
      <c r="AP117" s="246" t="e">
        <f t="shared" si="24"/>
        <v>#N/A</v>
      </c>
      <c r="AQ117" s="169" t="e">
        <f>NA()</f>
        <v>#N/A</v>
      </c>
      <c r="AR117" s="174"/>
      <c r="AU117" s="247" t="e">
        <f t="shared" si="23"/>
        <v>#N/A</v>
      </c>
      <c r="AV117" s="247" t="e">
        <f t="shared" si="25"/>
        <v>#N/A</v>
      </c>
      <c r="AW117" s="246" t="e">
        <f t="shared" si="25"/>
        <v>#N/A</v>
      </c>
    </row>
    <row r="118" spans="6:49" x14ac:dyDescent="0.25">
      <c r="F118" s="174"/>
      <c r="G118" s="249" t="e">
        <f>J58</f>
        <v>#REF!</v>
      </c>
      <c r="H118" s="185" t="e">
        <f>G118*SLOPE(H114:H115,G114:G115)+INTERCEPT(H114:H115,G114:G115)</f>
        <v>#REF!</v>
      </c>
      <c r="I118" s="249" t="e">
        <f>J61</f>
        <v>#REF!</v>
      </c>
      <c r="M118" s="173"/>
      <c r="AK118" s="174">
        <v>58</v>
      </c>
      <c r="AL118" s="169" t="str">
        <f t="shared" si="22"/>
        <v/>
      </c>
      <c r="AM118" s="247" t="e">
        <f t="shared" si="24"/>
        <v>#N/A</v>
      </c>
      <c r="AN118" s="247" t="e">
        <f t="shared" si="24"/>
        <v>#N/A</v>
      </c>
      <c r="AO118" s="247" t="e">
        <f t="shared" si="24"/>
        <v>#N/A</v>
      </c>
      <c r="AP118" s="246" t="e">
        <f t="shared" si="24"/>
        <v>#N/A</v>
      </c>
      <c r="AQ118" s="169" t="e">
        <f>NA()</f>
        <v>#N/A</v>
      </c>
      <c r="AR118" s="174"/>
      <c r="AU118" s="247" t="e">
        <f t="shared" si="23"/>
        <v>#N/A</v>
      </c>
      <c r="AV118" s="247" t="e">
        <f t="shared" si="25"/>
        <v>#N/A</v>
      </c>
      <c r="AW118" s="246" t="e">
        <f t="shared" si="25"/>
        <v>#N/A</v>
      </c>
    </row>
    <row r="119" spans="6:49" x14ac:dyDescent="0.25">
      <c r="F119" s="174"/>
      <c r="I119" s="184" t="s">
        <v>115</v>
      </c>
      <c r="J119" s="169" t="e">
        <f>IF(H118&lt;=I118,TRUE,FALSE)</f>
        <v>#REF!</v>
      </c>
      <c r="M119" s="173"/>
      <c r="AK119" s="174">
        <v>59</v>
      </c>
      <c r="AL119" s="169" t="str">
        <f t="shared" si="22"/>
        <v/>
      </c>
      <c r="AM119" s="247" t="e">
        <f t="shared" si="24"/>
        <v>#N/A</v>
      </c>
      <c r="AN119" s="247" t="e">
        <f t="shared" si="24"/>
        <v>#N/A</v>
      </c>
      <c r="AO119" s="247" t="e">
        <f t="shared" si="24"/>
        <v>#N/A</v>
      </c>
      <c r="AP119" s="246" t="e">
        <f t="shared" si="24"/>
        <v>#N/A</v>
      </c>
      <c r="AQ119" s="169" t="e">
        <f>NA()</f>
        <v>#N/A</v>
      </c>
      <c r="AR119" s="174"/>
      <c r="AU119" s="247" t="e">
        <f t="shared" si="23"/>
        <v>#N/A</v>
      </c>
      <c r="AV119" s="247" t="e">
        <f t="shared" si="25"/>
        <v>#N/A</v>
      </c>
      <c r="AW119" s="246" t="e">
        <f t="shared" si="25"/>
        <v>#N/A</v>
      </c>
    </row>
    <row r="120" spans="6:49" x14ac:dyDescent="0.25">
      <c r="F120" s="174" t="s">
        <v>114</v>
      </c>
      <c r="M120" s="173"/>
      <c r="AK120" s="174">
        <v>60</v>
      </c>
      <c r="AL120" s="169" t="str">
        <f t="shared" si="22"/>
        <v/>
      </c>
      <c r="AM120" s="247" t="e">
        <f t="shared" ref="AM120:AP139" si="26">IF(ISBLANK(VLOOKUP($AK120,$AK$43:$AP$56,AM$59,FALSE)),NA(),VLOOKUP($AK120,$AK$43:$AP$56,AM$59,FALSE))</f>
        <v>#N/A</v>
      </c>
      <c r="AN120" s="247" t="e">
        <f t="shared" si="26"/>
        <v>#N/A</v>
      </c>
      <c r="AO120" s="247" t="e">
        <f t="shared" si="26"/>
        <v>#N/A</v>
      </c>
      <c r="AP120" s="246" t="e">
        <f t="shared" si="26"/>
        <v>#N/A</v>
      </c>
      <c r="AQ120" s="169" t="e">
        <f>NA()</f>
        <v>#N/A</v>
      </c>
      <c r="AR120" s="174"/>
      <c r="AU120" s="247" t="e">
        <f t="shared" si="23"/>
        <v>#N/A</v>
      </c>
      <c r="AV120" s="247" t="e">
        <f t="shared" si="25"/>
        <v>#N/A</v>
      </c>
      <c r="AW120" s="246" t="e">
        <f t="shared" si="25"/>
        <v>#N/A</v>
      </c>
    </row>
    <row r="121" spans="6:49" x14ac:dyDescent="0.25">
      <c r="F121" s="174"/>
      <c r="G121" s="169" t="s">
        <v>113</v>
      </c>
      <c r="M121" s="173"/>
      <c r="AK121" s="174">
        <v>61</v>
      </c>
      <c r="AL121" s="169" t="str">
        <f t="shared" si="22"/>
        <v/>
      </c>
      <c r="AM121" s="247" t="e">
        <f t="shared" si="26"/>
        <v>#N/A</v>
      </c>
      <c r="AN121" s="247" t="e">
        <f t="shared" si="26"/>
        <v>#N/A</v>
      </c>
      <c r="AO121" s="247" t="e">
        <f t="shared" si="26"/>
        <v>#N/A</v>
      </c>
      <c r="AP121" s="246" t="e">
        <f t="shared" si="26"/>
        <v>#N/A</v>
      </c>
      <c r="AQ121" s="169" t="e">
        <f>NA()</f>
        <v>#N/A</v>
      </c>
      <c r="AR121" s="174"/>
      <c r="AU121" s="247" t="e">
        <f t="shared" si="23"/>
        <v>#N/A</v>
      </c>
      <c r="AV121" s="247" t="e">
        <f t="shared" ref="AV121:AW140" si="27">IF(ISBLANK(VLOOKUP($AK121,$AK$43:$AW$56,AV$59,FALSE)),NA(),VLOOKUP($AK121,$AK$43:$AW$56,AV$59,FALSE))</f>
        <v>#N/A</v>
      </c>
      <c r="AW121" s="246" t="e">
        <f t="shared" si="27"/>
        <v>#N/A</v>
      </c>
    </row>
    <row r="122" spans="6:49" x14ac:dyDescent="0.25">
      <c r="F122" s="174"/>
      <c r="G122" s="169" t="s">
        <v>112</v>
      </c>
      <c r="H122" s="169" t="s">
        <v>111</v>
      </c>
      <c r="M122" s="173"/>
      <c r="AK122" s="174">
        <v>62</v>
      </c>
      <c r="AL122" s="169" t="str">
        <f t="shared" si="22"/>
        <v>3/8 in.</v>
      </c>
      <c r="AM122" s="247" t="e">
        <f t="shared" si="26"/>
        <v>#REF!</v>
      </c>
      <c r="AN122" s="247" t="e">
        <f t="shared" si="26"/>
        <v>#N/A</v>
      </c>
      <c r="AO122" s="247" t="e">
        <f t="shared" si="26"/>
        <v>#N/A</v>
      </c>
      <c r="AP122" s="246" t="e">
        <f t="shared" si="26"/>
        <v>#N/A</v>
      </c>
      <c r="AQ122" s="248">
        <f>AQ67</f>
        <v>1</v>
      </c>
      <c r="AR122" s="174"/>
      <c r="AU122" s="247" t="e">
        <f t="shared" si="23"/>
        <v>#VALUE!</v>
      </c>
      <c r="AV122" s="247" t="str">
        <f t="shared" si="27"/>
        <v/>
      </c>
      <c r="AW122" s="246" t="str">
        <f t="shared" si="27"/>
        <v/>
      </c>
    </row>
    <row r="123" spans="6:49" x14ac:dyDescent="0.25">
      <c r="F123" s="174"/>
      <c r="G123" s="251">
        <v>0.52</v>
      </c>
      <c r="H123" s="250">
        <v>0.38</v>
      </c>
      <c r="M123" s="173"/>
      <c r="AK123" s="174">
        <v>63</v>
      </c>
      <c r="AL123" s="169" t="str">
        <f t="shared" si="22"/>
        <v/>
      </c>
      <c r="AM123" s="247" t="e">
        <f t="shared" si="26"/>
        <v>#N/A</v>
      </c>
      <c r="AN123" s="247" t="e">
        <f t="shared" si="26"/>
        <v>#N/A</v>
      </c>
      <c r="AO123" s="247" t="e">
        <f t="shared" si="26"/>
        <v>#N/A</v>
      </c>
      <c r="AP123" s="246" t="e">
        <f t="shared" si="26"/>
        <v>#N/A</v>
      </c>
      <c r="AQ123" s="169" t="e">
        <f>NA()</f>
        <v>#N/A</v>
      </c>
      <c r="AR123" s="174"/>
      <c r="AU123" s="247" t="e">
        <f t="shared" si="23"/>
        <v>#N/A</v>
      </c>
      <c r="AV123" s="247" t="e">
        <f t="shared" si="27"/>
        <v>#N/A</v>
      </c>
      <c r="AW123" s="246" t="e">
        <f t="shared" si="27"/>
        <v>#N/A</v>
      </c>
    </row>
    <row r="124" spans="6:49" x14ac:dyDescent="0.25">
      <c r="F124" s="174"/>
      <c r="G124" s="251">
        <v>0.68</v>
      </c>
      <c r="H124" s="250">
        <v>0.36</v>
      </c>
      <c r="M124" s="173"/>
      <c r="AK124" s="174">
        <v>64</v>
      </c>
      <c r="AL124" s="169" t="str">
        <f t="shared" ref="AL124:AL155" si="28">IF(ISNA(VLOOKUP($AK124,$AK$43:$AP$56,AL$59,FALSE)),"",VLOOKUP($AK124,$AK$43:$AP$56,AL$59,FALSE))</f>
        <v/>
      </c>
      <c r="AM124" s="247" t="e">
        <f t="shared" si="26"/>
        <v>#N/A</v>
      </c>
      <c r="AN124" s="247" t="e">
        <f t="shared" si="26"/>
        <v>#N/A</v>
      </c>
      <c r="AO124" s="247" t="e">
        <f t="shared" si="26"/>
        <v>#N/A</v>
      </c>
      <c r="AP124" s="246" t="e">
        <f t="shared" si="26"/>
        <v>#N/A</v>
      </c>
      <c r="AQ124" s="169" t="e">
        <f>NA()</f>
        <v>#N/A</v>
      </c>
      <c r="AR124" s="174"/>
      <c r="AU124" s="247" t="e">
        <f t="shared" si="23"/>
        <v>#N/A</v>
      </c>
      <c r="AV124" s="247" t="e">
        <f t="shared" si="27"/>
        <v>#N/A</v>
      </c>
      <c r="AW124" s="246" t="e">
        <f t="shared" si="27"/>
        <v>#N/A</v>
      </c>
    </row>
    <row r="125" spans="6:49" x14ac:dyDescent="0.25">
      <c r="F125" s="174"/>
      <c r="G125" s="169" t="s">
        <v>110</v>
      </c>
      <c r="M125" s="173"/>
      <c r="AK125" s="174">
        <v>65</v>
      </c>
      <c r="AL125" s="169" t="str">
        <f t="shared" si="28"/>
        <v/>
      </c>
      <c r="AM125" s="247" t="e">
        <f t="shared" si="26"/>
        <v>#N/A</v>
      </c>
      <c r="AN125" s="247" t="e">
        <f t="shared" si="26"/>
        <v>#N/A</v>
      </c>
      <c r="AO125" s="247" t="e">
        <f t="shared" si="26"/>
        <v>#N/A</v>
      </c>
      <c r="AP125" s="246" t="e">
        <f t="shared" si="26"/>
        <v>#N/A</v>
      </c>
      <c r="AQ125" s="169" t="e">
        <f>NA()</f>
        <v>#N/A</v>
      </c>
      <c r="AR125" s="174"/>
      <c r="AU125" s="247" t="e">
        <f t="shared" ref="AU125:AU156" si="29">IF(ISBLANK(VLOOKUP($AK125,$AK$43:$AU$56,AU$59,FALSE)),NA(),VLOOKUP($AK125,$AK$43:$AU$56,AU$59,FALSE))</f>
        <v>#N/A</v>
      </c>
      <c r="AV125" s="247" t="e">
        <f t="shared" si="27"/>
        <v>#N/A</v>
      </c>
      <c r="AW125" s="246" t="e">
        <f t="shared" si="27"/>
        <v>#N/A</v>
      </c>
    </row>
    <row r="126" spans="6:49" x14ac:dyDescent="0.25">
      <c r="F126" s="174"/>
      <c r="G126" s="169" t="s">
        <v>109</v>
      </c>
      <c r="H126" s="169" t="s">
        <v>108</v>
      </c>
      <c r="I126" s="169" t="s">
        <v>107</v>
      </c>
      <c r="M126" s="173"/>
      <c r="AK126" s="174">
        <v>66</v>
      </c>
      <c r="AL126" s="169" t="str">
        <f t="shared" si="28"/>
        <v/>
      </c>
      <c r="AM126" s="247" t="e">
        <f t="shared" si="26"/>
        <v>#N/A</v>
      </c>
      <c r="AN126" s="247" t="e">
        <f t="shared" si="26"/>
        <v>#N/A</v>
      </c>
      <c r="AO126" s="247" t="e">
        <f t="shared" si="26"/>
        <v>#N/A</v>
      </c>
      <c r="AP126" s="246" t="e">
        <f t="shared" si="26"/>
        <v>#N/A</v>
      </c>
      <c r="AQ126" s="169" t="e">
        <f>NA()</f>
        <v>#N/A</v>
      </c>
      <c r="AR126" s="174"/>
      <c r="AU126" s="247" t="e">
        <f t="shared" si="29"/>
        <v>#N/A</v>
      </c>
      <c r="AV126" s="247" t="e">
        <f t="shared" si="27"/>
        <v>#N/A</v>
      </c>
      <c r="AW126" s="246" t="e">
        <f t="shared" si="27"/>
        <v>#N/A</v>
      </c>
    </row>
    <row r="127" spans="6:49" x14ac:dyDescent="0.25">
      <c r="F127" s="174"/>
      <c r="G127" s="249" t="e">
        <f>G118</f>
        <v>#REF!</v>
      </c>
      <c r="H127" s="185" t="e">
        <f>G127*SLOPE(H123:H124,G123:G124)+INTERCEPT(H123:H124,G123:G124)</f>
        <v>#REF!</v>
      </c>
      <c r="I127" s="249" t="e">
        <f>I118</f>
        <v>#REF!</v>
      </c>
      <c r="M127" s="173"/>
      <c r="AK127" s="174">
        <v>67</v>
      </c>
      <c r="AL127" s="169" t="str">
        <f t="shared" si="28"/>
        <v/>
      </c>
      <c r="AM127" s="247" t="e">
        <f t="shared" si="26"/>
        <v>#N/A</v>
      </c>
      <c r="AN127" s="247" t="e">
        <f t="shared" si="26"/>
        <v>#N/A</v>
      </c>
      <c r="AO127" s="247" t="e">
        <f t="shared" si="26"/>
        <v>#N/A</v>
      </c>
      <c r="AP127" s="246" t="e">
        <f t="shared" si="26"/>
        <v>#N/A</v>
      </c>
      <c r="AQ127" s="169" t="e">
        <f>NA()</f>
        <v>#N/A</v>
      </c>
      <c r="AR127" s="174"/>
      <c r="AU127" s="247" t="e">
        <f t="shared" si="29"/>
        <v>#N/A</v>
      </c>
      <c r="AV127" s="247" t="e">
        <f t="shared" si="27"/>
        <v>#N/A</v>
      </c>
      <c r="AW127" s="246" t="e">
        <f t="shared" si="27"/>
        <v>#N/A</v>
      </c>
    </row>
    <row r="128" spans="6:49" x14ac:dyDescent="0.25">
      <c r="F128" s="174"/>
      <c r="I128" s="184" t="s">
        <v>106</v>
      </c>
      <c r="J128" s="169" t="e">
        <f>IF(H127&gt;=I127,TRUE,FALSE)</f>
        <v>#REF!</v>
      </c>
      <c r="M128" s="173"/>
      <c r="AK128" s="174">
        <v>68</v>
      </c>
      <c r="AL128" s="169" t="str">
        <f t="shared" si="28"/>
        <v/>
      </c>
      <c r="AM128" s="247" t="e">
        <f t="shared" si="26"/>
        <v>#N/A</v>
      </c>
      <c r="AN128" s="247" t="e">
        <f t="shared" si="26"/>
        <v>#N/A</v>
      </c>
      <c r="AO128" s="247" t="e">
        <f t="shared" si="26"/>
        <v>#N/A</v>
      </c>
      <c r="AP128" s="246" t="e">
        <f t="shared" si="26"/>
        <v>#N/A</v>
      </c>
      <c r="AQ128" s="169" t="e">
        <f>NA()</f>
        <v>#N/A</v>
      </c>
      <c r="AR128" s="174"/>
      <c r="AU128" s="247" t="e">
        <f t="shared" si="29"/>
        <v>#N/A</v>
      </c>
      <c r="AV128" s="247" t="e">
        <f t="shared" si="27"/>
        <v>#N/A</v>
      </c>
      <c r="AW128" s="246" t="e">
        <f t="shared" si="27"/>
        <v>#N/A</v>
      </c>
    </row>
    <row r="129" spans="6:49" x14ac:dyDescent="0.25">
      <c r="F129" s="174" t="s">
        <v>105</v>
      </c>
      <c r="M129" s="173"/>
      <c r="AK129" s="174">
        <v>69</v>
      </c>
      <c r="AL129" s="169" t="str">
        <f t="shared" si="28"/>
        <v/>
      </c>
      <c r="AM129" s="247" t="e">
        <f t="shared" si="26"/>
        <v>#N/A</v>
      </c>
      <c r="AN129" s="247" t="e">
        <f t="shared" si="26"/>
        <v>#N/A</v>
      </c>
      <c r="AO129" s="247" t="e">
        <f t="shared" si="26"/>
        <v>#N/A</v>
      </c>
      <c r="AP129" s="246" t="e">
        <f t="shared" si="26"/>
        <v>#N/A</v>
      </c>
      <c r="AQ129" s="169" t="e">
        <f>NA()</f>
        <v>#N/A</v>
      </c>
      <c r="AR129" s="174"/>
      <c r="AU129" s="247" t="e">
        <f t="shared" si="29"/>
        <v>#N/A</v>
      </c>
      <c r="AV129" s="247" t="e">
        <f t="shared" si="27"/>
        <v>#N/A</v>
      </c>
      <c r="AW129" s="246" t="e">
        <f t="shared" si="27"/>
        <v>#N/A</v>
      </c>
    </row>
    <row r="130" spans="6:49" x14ac:dyDescent="0.25">
      <c r="F130" s="174"/>
      <c r="I130" s="190" t="s">
        <v>104</v>
      </c>
      <c r="M130" s="173"/>
      <c r="AK130" s="174">
        <v>70</v>
      </c>
      <c r="AL130" s="169" t="str">
        <f t="shared" si="28"/>
        <v>1/2 in.</v>
      </c>
      <c r="AM130" s="247" t="e">
        <f t="shared" si="26"/>
        <v>#REF!</v>
      </c>
      <c r="AN130" s="247" t="e">
        <f t="shared" si="26"/>
        <v>#N/A</v>
      </c>
      <c r="AO130" s="247" t="e">
        <f t="shared" si="26"/>
        <v>#N/A</v>
      </c>
      <c r="AP130" s="246" t="e">
        <f t="shared" si="26"/>
        <v>#N/A</v>
      </c>
      <c r="AQ130" s="248">
        <f>AQ67</f>
        <v>1</v>
      </c>
      <c r="AR130" s="174"/>
      <c r="AU130" s="247" t="e">
        <f t="shared" si="29"/>
        <v>#VALUE!</v>
      </c>
      <c r="AV130" s="247" t="str">
        <f t="shared" si="27"/>
        <v/>
      </c>
      <c r="AW130" s="246" t="str">
        <f t="shared" si="27"/>
        <v/>
      </c>
    </row>
    <row r="131" spans="6:49" x14ac:dyDescent="0.25">
      <c r="F131" s="174"/>
      <c r="G131" s="184" t="s">
        <v>103</v>
      </c>
      <c r="H131" s="248">
        <f>G114</f>
        <v>0.68</v>
      </c>
      <c r="I131" s="169" t="e">
        <f>IF(G127&lt;=H131,TRUE,FALSE)</f>
        <v>#REF!</v>
      </c>
      <c r="M131" s="173"/>
      <c r="AK131" s="174">
        <v>71</v>
      </c>
      <c r="AL131" s="169" t="str">
        <f t="shared" si="28"/>
        <v/>
      </c>
      <c r="AM131" s="247" t="e">
        <f t="shared" si="26"/>
        <v>#N/A</v>
      </c>
      <c r="AN131" s="247" t="e">
        <f t="shared" si="26"/>
        <v>#N/A</v>
      </c>
      <c r="AO131" s="247" t="e">
        <f t="shared" si="26"/>
        <v>#N/A</v>
      </c>
      <c r="AP131" s="246" t="e">
        <f t="shared" si="26"/>
        <v>#N/A</v>
      </c>
      <c r="AQ131" s="169" t="e">
        <f>NA()</f>
        <v>#N/A</v>
      </c>
      <c r="AR131" s="174"/>
      <c r="AU131" s="247" t="e">
        <f t="shared" si="29"/>
        <v>#N/A</v>
      </c>
      <c r="AV131" s="247" t="e">
        <f t="shared" si="27"/>
        <v>#N/A</v>
      </c>
      <c r="AW131" s="246" t="e">
        <f t="shared" si="27"/>
        <v>#N/A</v>
      </c>
    </row>
    <row r="132" spans="6:49" x14ac:dyDescent="0.25">
      <c r="F132" s="174"/>
      <c r="G132" s="184" t="s">
        <v>102</v>
      </c>
      <c r="H132" s="248">
        <f>G115</f>
        <v>0.52</v>
      </c>
      <c r="I132" s="169" t="e">
        <f>IF(G127&gt;=H132,TRUE,FALSE)</f>
        <v>#REF!</v>
      </c>
      <c r="M132" s="173"/>
      <c r="AK132" s="174">
        <v>72</v>
      </c>
      <c r="AL132" s="169" t="str">
        <f t="shared" si="28"/>
        <v/>
      </c>
      <c r="AM132" s="247" t="e">
        <f t="shared" si="26"/>
        <v>#N/A</v>
      </c>
      <c r="AN132" s="247" t="e">
        <f t="shared" si="26"/>
        <v>#N/A</v>
      </c>
      <c r="AO132" s="247" t="e">
        <f t="shared" si="26"/>
        <v>#N/A</v>
      </c>
      <c r="AP132" s="246" t="e">
        <f t="shared" si="26"/>
        <v>#N/A</v>
      </c>
      <c r="AQ132" s="169" t="e">
        <f>NA()</f>
        <v>#N/A</v>
      </c>
      <c r="AR132" s="174"/>
      <c r="AU132" s="247" t="e">
        <f t="shared" si="29"/>
        <v>#N/A</v>
      </c>
      <c r="AV132" s="247" t="e">
        <f t="shared" si="27"/>
        <v>#N/A</v>
      </c>
      <c r="AW132" s="246" t="e">
        <f t="shared" si="27"/>
        <v>#N/A</v>
      </c>
    </row>
    <row r="133" spans="6:49" x14ac:dyDescent="0.25">
      <c r="F133" s="172" t="e">
        <f>IF(AND(J119,J128,I131,I132),"Blend is within the Workability Box.","Blend is not in the Workability Box")</f>
        <v>#REF!</v>
      </c>
      <c r="G133" s="171"/>
      <c r="H133" s="171"/>
      <c r="I133" s="171"/>
      <c r="J133" s="171"/>
      <c r="K133" s="171"/>
      <c r="L133" s="171"/>
      <c r="M133" s="170"/>
      <c r="AK133" s="174">
        <v>73</v>
      </c>
      <c r="AL133" s="169" t="str">
        <f t="shared" si="28"/>
        <v/>
      </c>
      <c r="AM133" s="247" t="e">
        <f t="shared" si="26"/>
        <v>#N/A</v>
      </c>
      <c r="AN133" s="247" t="e">
        <f t="shared" si="26"/>
        <v>#N/A</v>
      </c>
      <c r="AO133" s="247" t="e">
        <f t="shared" si="26"/>
        <v>#N/A</v>
      </c>
      <c r="AP133" s="246" t="e">
        <f t="shared" si="26"/>
        <v>#N/A</v>
      </c>
      <c r="AQ133" s="169" t="e">
        <f>NA()</f>
        <v>#N/A</v>
      </c>
      <c r="AR133" s="174"/>
      <c r="AU133" s="247" t="e">
        <f t="shared" si="29"/>
        <v>#N/A</v>
      </c>
      <c r="AV133" s="247" t="e">
        <f t="shared" si="27"/>
        <v>#N/A</v>
      </c>
      <c r="AW133" s="246" t="e">
        <f t="shared" si="27"/>
        <v>#N/A</v>
      </c>
    </row>
    <row r="134" spans="6:49" x14ac:dyDescent="0.25">
      <c r="AK134" s="174">
        <v>74</v>
      </c>
      <c r="AL134" s="169" t="str">
        <f t="shared" si="28"/>
        <v/>
      </c>
      <c r="AM134" s="247" t="e">
        <f t="shared" si="26"/>
        <v>#N/A</v>
      </c>
      <c r="AN134" s="247" t="e">
        <f t="shared" si="26"/>
        <v>#N/A</v>
      </c>
      <c r="AO134" s="247" t="e">
        <f t="shared" si="26"/>
        <v>#N/A</v>
      </c>
      <c r="AP134" s="246" t="e">
        <f t="shared" si="26"/>
        <v>#N/A</v>
      </c>
      <c r="AQ134" s="169" t="e">
        <f>NA()</f>
        <v>#N/A</v>
      </c>
      <c r="AR134" s="174"/>
      <c r="AU134" s="247" t="e">
        <f t="shared" si="29"/>
        <v>#N/A</v>
      </c>
      <c r="AV134" s="247" t="e">
        <f t="shared" si="27"/>
        <v>#N/A</v>
      </c>
      <c r="AW134" s="246" t="e">
        <f t="shared" si="27"/>
        <v>#N/A</v>
      </c>
    </row>
    <row r="135" spans="6:49" x14ac:dyDescent="0.25">
      <c r="AK135" s="174">
        <v>75</v>
      </c>
      <c r="AL135" s="169" t="str">
        <f t="shared" si="28"/>
        <v/>
      </c>
      <c r="AM135" s="247" t="e">
        <f t="shared" si="26"/>
        <v>#N/A</v>
      </c>
      <c r="AN135" s="247" t="e">
        <f t="shared" si="26"/>
        <v>#N/A</v>
      </c>
      <c r="AO135" s="247" t="e">
        <f t="shared" si="26"/>
        <v>#N/A</v>
      </c>
      <c r="AP135" s="246" t="e">
        <f t="shared" si="26"/>
        <v>#N/A</v>
      </c>
      <c r="AQ135" s="169" t="e">
        <f>NA()</f>
        <v>#N/A</v>
      </c>
      <c r="AR135" s="174"/>
      <c r="AU135" s="247" t="e">
        <f t="shared" si="29"/>
        <v>#N/A</v>
      </c>
      <c r="AV135" s="247" t="e">
        <f t="shared" si="27"/>
        <v>#N/A</v>
      </c>
      <c r="AW135" s="246" t="e">
        <f t="shared" si="27"/>
        <v>#N/A</v>
      </c>
    </row>
    <row r="136" spans="6:49" x14ac:dyDescent="0.25">
      <c r="AK136" s="174">
        <v>76</v>
      </c>
      <c r="AL136" s="169" t="str">
        <f t="shared" si="28"/>
        <v/>
      </c>
      <c r="AM136" s="247" t="e">
        <f t="shared" si="26"/>
        <v>#N/A</v>
      </c>
      <c r="AN136" s="247" t="e">
        <f t="shared" si="26"/>
        <v>#N/A</v>
      </c>
      <c r="AO136" s="247" t="e">
        <f t="shared" si="26"/>
        <v>#N/A</v>
      </c>
      <c r="AP136" s="246" t="e">
        <f t="shared" si="26"/>
        <v>#N/A</v>
      </c>
      <c r="AQ136" s="169" t="e">
        <f>NA()</f>
        <v>#N/A</v>
      </c>
      <c r="AR136" s="174"/>
      <c r="AU136" s="247" t="e">
        <f t="shared" si="29"/>
        <v>#N/A</v>
      </c>
      <c r="AV136" s="247" t="e">
        <f t="shared" si="27"/>
        <v>#N/A</v>
      </c>
      <c r="AW136" s="246" t="e">
        <f t="shared" si="27"/>
        <v>#N/A</v>
      </c>
    </row>
    <row r="137" spans="6:49" x14ac:dyDescent="0.25">
      <c r="AK137" s="174">
        <v>77</v>
      </c>
      <c r="AL137" s="169" t="str">
        <f t="shared" si="28"/>
        <v/>
      </c>
      <c r="AM137" s="247" t="e">
        <f t="shared" si="26"/>
        <v>#N/A</v>
      </c>
      <c r="AN137" s="247" t="e">
        <f t="shared" si="26"/>
        <v>#N/A</v>
      </c>
      <c r="AO137" s="247" t="e">
        <f t="shared" si="26"/>
        <v>#N/A</v>
      </c>
      <c r="AP137" s="246" t="e">
        <f t="shared" si="26"/>
        <v>#N/A</v>
      </c>
      <c r="AQ137" s="169" t="e">
        <f>NA()</f>
        <v>#N/A</v>
      </c>
      <c r="AR137" s="174"/>
      <c r="AU137" s="247" t="e">
        <f t="shared" si="29"/>
        <v>#N/A</v>
      </c>
      <c r="AV137" s="247" t="e">
        <f t="shared" si="27"/>
        <v>#N/A</v>
      </c>
      <c r="AW137" s="246" t="e">
        <f t="shared" si="27"/>
        <v>#N/A</v>
      </c>
    </row>
    <row r="138" spans="6:49" x14ac:dyDescent="0.25">
      <c r="AK138" s="174">
        <v>78</v>
      </c>
      <c r="AL138" s="169" t="str">
        <f t="shared" si="28"/>
        <v/>
      </c>
      <c r="AM138" s="247" t="e">
        <f t="shared" si="26"/>
        <v>#N/A</v>
      </c>
      <c r="AN138" s="247" t="e">
        <f t="shared" si="26"/>
        <v>#N/A</v>
      </c>
      <c r="AO138" s="247" t="e">
        <f t="shared" si="26"/>
        <v>#N/A</v>
      </c>
      <c r="AP138" s="246" t="e">
        <f t="shared" si="26"/>
        <v>#N/A</v>
      </c>
      <c r="AQ138" s="169" t="e">
        <f>NA()</f>
        <v>#N/A</v>
      </c>
      <c r="AR138" s="174"/>
      <c r="AU138" s="247" t="e">
        <f t="shared" si="29"/>
        <v>#N/A</v>
      </c>
      <c r="AV138" s="247" t="e">
        <f t="shared" si="27"/>
        <v>#N/A</v>
      </c>
      <c r="AW138" s="246" t="e">
        <f t="shared" si="27"/>
        <v>#N/A</v>
      </c>
    </row>
    <row r="139" spans="6:49" x14ac:dyDescent="0.25">
      <c r="AK139" s="174">
        <v>79</v>
      </c>
      <c r="AL139" s="169" t="str">
        <f t="shared" si="28"/>
        <v/>
      </c>
      <c r="AM139" s="247" t="e">
        <f t="shared" si="26"/>
        <v>#N/A</v>
      </c>
      <c r="AN139" s="247" t="e">
        <f t="shared" si="26"/>
        <v>#N/A</v>
      </c>
      <c r="AO139" s="247" t="e">
        <f t="shared" si="26"/>
        <v>#N/A</v>
      </c>
      <c r="AP139" s="246" t="e">
        <f t="shared" si="26"/>
        <v>#N/A</v>
      </c>
      <c r="AQ139" s="169" t="e">
        <f>NA()</f>
        <v>#N/A</v>
      </c>
      <c r="AR139" s="174"/>
      <c r="AU139" s="247" t="e">
        <f t="shared" si="29"/>
        <v>#N/A</v>
      </c>
      <c r="AV139" s="247" t="e">
        <f t="shared" si="27"/>
        <v>#N/A</v>
      </c>
      <c r="AW139" s="246" t="e">
        <f t="shared" si="27"/>
        <v>#N/A</v>
      </c>
    </row>
    <row r="140" spans="6:49" x14ac:dyDescent="0.25">
      <c r="AK140" s="174">
        <v>80</v>
      </c>
      <c r="AL140" s="169" t="str">
        <f t="shared" si="28"/>
        <v/>
      </c>
      <c r="AM140" s="247" t="e">
        <f t="shared" ref="AM140:AP159" si="30">IF(ISBLANK(VLOOKUP($AK140,$AK$43:$AP$56,AM$59,FALSE)),NA(),VLOOKUP($AK140,$AK$43:$AP$56,AM$59,FALSE))</f>
        <v>#N/A</v>
      </c>
      <c r="AN140" s="247" t="e">
        <f t="shared" si="30"/>
        <v>#N/A</v>
      </c>
      <c r="AO140" s="247" t="e">
        <f t="shared" si="30"/>
        <v>#N/A</v>
      </c>
      <c r="AP140" s="246" t="e">
        <f t="shared" si="30"/>
        <v>#N/A</v>
      </c>
      <c r="AQ140" s="169" t="e">
        <f>NA()</f>
        <v>#N/A</v>
      </c>
      <c r="AR140" s="174"/>
      <c r="AU140" s="247" t="e">
        <f t="shared" si="29"/>
        <v>#N/A</v>
      </c>
      <c r="AV140" s="247" t="e">
        <f t="shared" si="27"/>
        <v>#N/A</v>
      </c>
      <c r="AW140" s="246" t="e">
        <f t="shared" si="27"/>
        <v>#N/A</v>
      </c>
    </row>
    <row r="141" spans="6:49" x14ac:dyDescent="0.25">
      <c r="AK141" s="174">
        <v>81</v>
      </c>
      <c r="AL141" s="169" t="str">
        <f t="shared" si="28"/>
        <v/>
      </c>
      <c r="AM141" s="247" t="e">
        <f t="shared" si="30"/>
        <v>#N/A</v>
      </c>
      <c r="AN141" s="247" t="e">
        <f t="shared" si="30"/>
        <v>#N/A</v>
      </c>
      <c r="AO141" s="247" t="e">
        <f t="shared" si="30"/>
        <v>#N/A</v>
      </c>
      <c r="AP141" s="246" t="e">
        <f t="shared" si="30"/>
        <v>#N/A</v>
      </c>
      <c r="AQ141" s="169" t="e">
        <f>NA()</f>
        <v>#N/A</v>
      </c>
      <c r="AR141" s="174"/>
      <c r="AU141" s="247" t="e">
        <f t="shared" si="29"/>
        <v>#N/A</v>
      </c>
      <c r="AV141" s="247" t="e">
        <f t="shared" ref="AV141:AW160" si="31">IF(ISBLANK(VLOOKUP($AK141,$AK$43:$AW$56,AV$59,FALSE)),NA(),VLOOKUP($AK141,$AK$43:$AW$56,AV$59,FALSE))</f>
        <v>#N/A</v>
      </c>
      <c r="AW141" s="246" t="e">
        <f t="shared" si="31"/>
        <v>#N/A</v>
      </c>
    </row>
    <row r="142" spans="6:49" x14ac:dyDescent="0.25">
      <c r="AK142" s="174">
        <v>82</v>
      </c>
      <c r="AL142" s="169" t="str">
        <f t="shared" si="28"/>
        <v/>
      </c>
      <c r="AM142" s="247" t="e">
        <f t="shared" si="30"/>
        <v>#N/A</v>
      </c>
      <c r="AN142" s="247" t="e">
        <f t="shared" si="30"/>
        <v>#N/A</v>
      </c>
      <c r="AO142" s="247" t="e">
        <f t="shared" si="30"/>
        <v>#N/A</v>
      </c>
      <c r="AP142" s="246" t="e">
        <f t="shared" si="30"/>
        <v>#N/A</v>
      </c>
      <c r="AQ142" s="169" t="e">
        <f>NA()</f>
        <v>#N/A</v>
      </c>
      <c r="AR142" s="174"/>
      <c r="AU142" s="247" t="e">
        <f t="shared" si="29"/>
        <v>#N/A</v>
      </c>
      <c r="AV142" s="247" t="e">
        <f t="shared" si="31"/>
        <v>#N/A</v>
      </c>
      <c r="AW142" s="246" t="e">
        <f t="shared" si="31"/>
        <v>#N/A</v>
      </c>
    </row>
    <row r="143" spans="6:49" x14ac:dyDescent="0.25">
      <c r="AK143" s="174">
        <v>83</v>
      </c>
      <c r="AL143" s="169" t="str">
        <f t="shared" si="28"/>
        <v/>
      </c>
      <c r="AM143" s="247" t="e">
        <f t="shared" si="30"/>
        <v>#N/A</v>
      </c>
      <c r="AN143" s="247" t="e">
        <f t="shared" si="30"/>
        <v>#N/A</v>
      </c>
      <c r="AO143" s="247" t="e">
        <f t="shared" si="30"/>
        <v>#N/A</v>
      </c>
      <c r="AP143" s="246" t="e">
        <f t="shared" si="30"/>
        <v>#N/A</v>
      </c>
      <c r="AQ143" s="169" t="e">
        <f>NA()</f>
        <v>#N/A</v>
      </c>
      <c r="AR143" s="174"/>
      <c r="AU143" s="247" t="e">
        <f t="shared" si="29"/>
        <v>#N/A</v>
      </c>
      <c r="AV143" s="247" t="e">
        <f t="shared" si="31"/>
        <v>#N/A</v>
      </c>
      <c r="AW143" s="246" t="e">
        <f t="shared" si="31"/>
        <v>#N/A</v>
      </c>
    </row>
    <row r="144" spans="6:49" x14ac:dyDescent="0.25">
      <c r="AK144" s="174">
        <v>84</v>
      </c>
      <c r="AL144" s="169" t="str">
        <f t="shared" si="28"/>
        <v>3/4 in.</v>
      </c>
      <c r="AM144" s="247" t="e">
        <f t="shared" si="30"/>
        <v>#REF!</v>
      </c>
      <c r="AN144" s="247" t="e">
        <f t="shared" si="30"/>
        <v>#N/A</v>
      </c>
      <c r="AO144" s="247" t="e">
        <f t="shared" si="30"/>
        <v>#N/A</v>
      </c>
      <c r="AP144" s="246" t="e">
        <f t="shared" si="30"/>
        <v>#N/A</v>
      </c>
      <c r="AQ144" s="248">
        <f>AQ67</f>
        <v>1</v>
      </c>
      <c r="AR144" s="174"/>
      <c r="AU144" s="247" t="e">
        <f t="shared" si="29"/>
        <v>#REF!</v>
      </c>
      <c r="AV144" s="247" t="e">
        <f t="shared" si="31"/>
        <v>#REF!</v>
      </c>
      <c r="AW144" s="246" t="str">
        <f t="shared" si="31"/>
        <v/>
      </c>
    </row>
    <row r="145" spans="37:49" x14ac:dyDescent="0.25">
      <c r="AK145" s="174">
        <v>85</v>
      </c>
      <c r="AL145" s="169" t="str">
        <f t="shared" si="28"/>
        <v/>
      </c>
      <c r="AM145" s="247" t="e">
        <f t="shared" si="30"/>
        <v>#N/A</v>
      </c>
      <c r="AN145" s="247" t="e">
        <f t="shared" si="30"/>
        <v>#N/A</v>
      </c>
      <c r="AO145" s="247" t="e">
        <f t="shared" si="30"/>
        <v>#N/A</v>
      </c>
      <c r="AP145" s="246" t="e">
        <f t="shared" si="30"/>
        <v>#N/A</v>
      </c>
      <c r="AQ145" s="169" t="e">
        <f>NA()</f>
        <v>#N/A</v>
      </c>
      <c r="AR145" s="174"/>
      <c r="AU145" s="247" t="e">
        <f t="shared" si="29"/>
        <v>#N/A</v>
      </c>
      <c r="AV145" s="247" t="e">
        <f t="shared" si="31"/>
        <v>#N/A</v>
      </c>
      <c r="AW145" s="246" t="e">
        <f t="shared" si="31"/>
        <v>#N/A</v>
      </c>
    </row>
    <row r="146" spans="37:49" x14ac:dyDescent="0.25">
      <c r="AK146" s="174">
        <v>86</v>
      </c>
      <c r="AL146" s="169" t="str">
        <f t="shared" si="28"/>
        <v/>
      </c>
      <c r="AM146" s="247" t="e">
        <f t="shared" si="30"/>
        <v>#N/A</v>
      </c>
      <c r="AN146" s="247" t="e">
        <f t="shared" si="30"/>
        <v>#N/A</v>
      </c>
      <c r="AO146" s="247" t="e">
        <f t="shared" si="30"/>
        <v>#N/A</v>
      </c>
      <c r="AP146" s="246" t="e">
        <f t="shared" si="30"/>
        <v>#N/A</v>
      </c>
      <c r="AQ146" s="169" t="e">
        <f>NA()</f>
        <v>#N/A</v>
      </c>
      <c r="AR146" s="174"/>
      <c r="AU146" s="247" t="e">
        <f t="shared" si="29"/>
        <v>#N/A</v>
      </c>
      <c r="AV146" s="247" t="e">
        <f t="shared" si="31"/>
        <v>#N/A</v>
      </c>
      <c r="AW146" s="246" t="e">
        <f t="shared" si="31"/>
        <v>#N/A</v>
      </c>
    </row>
    <row r="147" spans="37:49" x14ac:dyDescent="0.25">
      <c r="AK147" s="174">
        <v>87</v>
      </c>
      <c r="AL147" s="169" t="str">
        <f t="shared" si="28"/>
        <v/>
      </c>
      <c r="AM147" s="247" t="e">
        <f t="shared" si="30"/>
        <v>#N/A</v>
      </c>
      <c r="AN147" s="247" t="e">
        <f t="shared" si="30"/>
        <v>#N/A</v>
      </c>
      <c r="AO147" s="247" t="e">
        <f t="shared" si="30"/>
        <v>#N/A</v>
      </c>
      <c r="AP147" s="246" t="e">
        <f t="shared" si="30"/>
        <v>#N/A</v>
      </c>
      <c r="AQ147" s="169" t="e">
        <f>NA()</f>
        <v>#N/A</v>
      </c>
      <c r="AR147" s="174"/>
      <c r="AU147" s="247" t="e">
        <f t="shared" si="29"/>
        <v>#N/A</v>
      </c>
      <c r="AV147" s="247" t="e">
        <f t="shared" si="31"/>
        <v>#N/A</v>
      </c>
      <c r="AW147" s="246" t="e">
        <f t="shared" si="31"/>
        <v>#N/A</v>
      </c>
    </row>
    <row r="148" spans="37:49" x14ac:dyDescent="0.25">
      <c r="AK148" s="174">
        <v>88</v>
      </c>
      <c r="AL148" s="169" t="str">
        <f t="shared" si="28"/>
        <v/>
      </c>
      <c r="AM148" s="247" t="e">
        <f t="shared" si="30"/>
        <v>#N/A</v>
      </c>
      <c r="AN148" s="247" t="e">
        <f t="shared" si="30"/>
        <v>#N/A</v>
      </c>
      <c r="AO148" s="247" t="e">
        <f t="shared" si="30"/>
        <v>#N/A</v>
      </c>
      <c r="AP148" s="246" t="e">
        <f t="shared" si="30"/>
        <v>#N/A</v>
      </c>
      <c r="AQ148" s="169" t="e">
        <f>NA()</f>
        <v>#N/A</v>
      </c>
      <c r="AR148" s="174"/>
      <c r="AU148" s="247" t="e">
        <f t="shared" si="29"/>
        <v>#N/A</v>
      </c>
      <c r="AV148" s="247" t="e">
        <f t="shared" si="31"/>
        <v>#N/A</v>
      </c>
      <c r="AW148" s="246" t="e">
        <f t="shared" si="31"/>
        <v>#N/A</v>
      </c>
    </row>
    <row r="149" spans="37:49" x14ac:dyDescent="0.25">
      <c r="AK149" s="174">
        <v>89</v>
      </c>
      <c r="AL149" s="169" t="str">
        <f t="shared" si="28"/>
        <v/>
      </c>
      <c r="AM149" s="247" t="e">
        <f t="shared" si="30"/>
        <v>#N/A</v>
      </c>
      <c r="AN149" s="247" t="e">
        <f t="shared" si="30"/>
        <v>#N/A</v>
      </c>
      <c r="AO149" s="247" t="e">
        <f t="shared" si="30"/>
        <v>#N/A</v>
      </c>
      <c r="AP149" s="246" t="e">
        <f t="shared" si="30"/>
        <v>#N/A</v>
      </c>
      <c r="AQ149" s="169" t="e">
        <f>NA()</f>
        <v>#N/A</v>
      </c>
      <c r="AR149" s="174"/>
      <c r="AU149" s="247" t="e">
        <f t="shared" si="29"/>
        <v>#N/A</v>
      </c>
      <c r="AV149" s="247" t="e">
        <f t="shared" si="31"/>
        <v>#N/A</v>
      </c>
      <c r="AW149" s="246" t="e">
        <f t="shared" si="31"/>
        <v>#N/A</v>
      </c>
    </row>
    <row r="150" spans="37:49" x14ac:dyDescent="0.25">
      <c r="AK150" s="174">
        <v>90</v>
      </c>
      <c r="AL150" s="169" t="str">
        <f t="shared" si="28"/>
        <v/>
      </c>
      <c r="AM150" s="247" t="e">
        <f t="shared" si="30"/>
        <v>#N/A</v>
      </c>
      <c r="AN150" s="247" t="e">
        <f t="shared" si="30"/>
        <v>#N/A</v>
      </c>
      <c r="AO150" s="247" t="e">
        <f t="shared" si="30"/>
        <v>#N/A</v>
      </c>
      <c r="AP150" s="246" t="e">
        <f t="shared" si="30"/>
        <v>#N/A</v>
      </c>
      <c r="AQ150" s="169" t="e">
        <f>NA()</f>
        <v>#N/A</v>
      </c>
      <c r="AR150" s="174"/>
      <c r="AU150" s="247" t="e">
        <f t="shared" si="29"/>
        <v>#N/A</v>
      </c>
      <c r="AV150" s="247" t="e">
        <f t="shared" si="31"/>
        <v>#N/A</v>
      </c>
      <c r="AW150" s="246" t="e">
        <f t="shared" si="31"/>
        <v>#N/A</v>
      </c>
    </row>
    <row r="151" spans="37:49" x14ac:dyDescent="0.25">
      <c r="AK151" s="174">
        <v>91</v>
      </c>
      <c r="AL151" s="169" t="str">
        <f t="shared" si="28"/>
        <v/>
      </c>
      <c r="AM151" s="247" t="e">
        <f t="shared" si="30"/>
        <v>#N/A</v>
      </c>
      <c r="AN151" s="247" t="e">
        <f t="shared" si="30"/>
        <v>#N/A</v>
      </c>
      <c r="AO151" s="247" t="e">
        <f t="shared" si="30"/>
        <v>#N/A</v>
      </c>
      <c r="AP151" s="246" t="e">
        <f t="shared" si="30"/>
        <v>#N/A</v>
      </c>
      <c r="AQ151" s="169" t="e">
        <f>NA()</f>
        <v>#N/A</v>
      </c>
      <c r="AR151" s="174"/>
      <c r="AU151" s="247" t="e">
        <f t="shared" si="29"/>
        <v>#N/A</v>
      </c>
      <c r="AV151" s="247" t="e">
        <f t="shared" si="31"/>
        <v>#N/A</v>
      </c>
      <c r="AW151" s="246" t="e">
        <f t="shared" si="31"/>
        <v>#N/A</v>
      </c>
    </row>
    <row r="152" spans="37:49" x14ac:dyDescent="0.25">
      <c r="AK152" s="174">
        <v>92</v>
      </c>
      <c r="AL152" s="169" t="str">
        <f t="shared" si="28"/>
        <v/>
      </c>
      <c r="AM152" s="247" t="e">
        <f t="shared" si="30"/>
        <v>#N/A</v>
      </c>
      <c r="AN152" s="247" t="e">
        <f t="shared" si="30"/>
        <v>#N/A</v>
      </c>
      <c r="AO152" s="247" t="e">
        <f t="shared" si="30"/>
        <v>#N/A</v>
      </c>
      <c r="AP152" s="246" t="e">
        <f t="shared" si="30"/>
        <v>#N/A</v>
      </c>
      <c r="AQ152" s="169" t="e">
        <f>NA()</f>
        <v>#N/A</v>
      </c>
      <c r="AR152" s="174"/>
      <c r="AU152" s="247" t="e">
        <f t="shared" si="29"/>
        <v>#N/A</v>
      </c>
      <c r="AV152" s="247" t="e">
        <f t="shared" si="31"/>
        <v>#N/A</v>
      </c>
      <c r="AW152" s="246" t="e">
        <f t="shared" si="31"/>
        <v>#N/A</v>
      </c>
    </row>
    <row r="153" spans="37:49" x14ac:dyDescent="0.25">
      <c r="AK153" s="174">
        <v>93</v>
      </c>
      <c r="AL153" s="169" t="str">
        <f t="shared" si="28"/>
        <v/>
      </c>
      <c r="AM153" s="247" t="e">
        <f t="shared" si="30"/>
        <v>#N/A</v>
      </c>
      <c r="AN153" s="247" t="e">
        <f t="shared" si="30"/>
        <v>#N/A</v>
      </c>
      <c r="AO153" s="247" t="e">
        <f t="shared" si="30"/>
        <v>#N/A</v>
      </c>
      <c r="AP153" s="246" t="e">
        <f t="shared" si="30"/>
        <v>#N/A</v>
      </c>
      <c r="AQ153" s="169" t="e">
        <f>NA()</f>
        <v>#N/A</v>
      </c>
      <c r="AR153" s="174"/>
      <c r="AU153" s="247" t="e">
        <f t="shared" si="29"/>
        <v>#N/A</v>
      </c>
      <c r="AV153" s="247" t="e">
        <f t="shared" si="31"/>
        <v>#N/A</v>
      </c>
      <c r="AW153" s="246" t="e">
        <f t="shared" si="31"/>
        <v>#N/A</v>
      </c>
    </row>
    <row r="154" spans="37:49" x14ac:dyDescent="0.25">
      <c r="AK154" s="174">
        <v>94</v>
      </c>
      <c r="AL154" s="169" t="str">
        <f t="shared" si="28"/>
        <v/>
      </c>
      <c r="AM154" s="247" t="e">
        <f t="shared" si="30"/>
        <v>#N/A</v>
      </c>
      <c r="AN154" s="247" t="e">
        <f t="shared" si="30"/>
        <v>#N/A</v>
      </c>
      <c r="AO154" s="247" t="e">
        <f t="shared" si="30"/>
        <v>#N/A</v>
      </c>
      <c r="AP154" s="246" t="e">
        <f t="shared" si="30"/>
        <v>#N/A</v>
      </c>
      <c r="AQ154" s="169" t="e">
        <f>NA()</f>
        <v>#N/A</v>
      </c>
      <c r="AR154" s="174"/>
      <c r="AU154" s="247" t="e">
        <f t="shared" si="29"/>
        <v>#N/A</v>
      </c>
      <c r="AV154" s="247" t="e">
        <f t="shared" si="31"/>
        <v>#N/A</v>
      </c>
      <c r="AW154" s="246" t="e">
        <f t="shared" si="31"/>
        <v>#N/A</v>
      </c>
    </row>
    <row r="155" spans="37:49" x14ac:dyDescent="0.25">
      <c r="AK155" s="174">
        <v>95</v>
      </c>
      <c r="AL155" s="169" t="str">
        <f t="shared" si="28"/>
        <v/>
      </c>
      <c r="AM155" s="247" t="e">
        <f t="shared" si="30"/>
        <v>#N/A</v>
      </c>
      <c r="AN155" s="247" t="e">
        <f t="shared" si="30"/>
        <v>#N/A</v>
      </c>
      <c r="AO155" s="247" t="e">
        <f t="shared" si="30"/>
        <v>#N/A</v>
      </c>
      <c r="AP155" s="246" t="e">
        <f t="shared" si="30"/>
        <v>#N/A</v>
      </c>
      <c r="AQ155" s="169" t="e">
        <f>NA()</f>
        <v>#N/A</v>
      </c>
      <c r="AR155" s="174"/>
      <c r="AU155" s="247" t="e">
        <f t="shared" si="29"/>
        <v>#N/A</v>
      </c>
      <c r="AV155" s="247" t="e">
        <f t="shared" si="31"/>
        <v>#N/A</v>
      </c>
      <c r="AW155" s="246" t="e">
        <f t="shared" si="31"/>
        <v>#N/A</v>
      </c>
    </row>
    <row r="156" spans="37:49" x14ac:dyDescent="0.25">
      <c r="AK156" s="174">
        <v>96</v>
      </c>
      <c r="AL156" s="169" t="str">
        <f t="shared" ref="AL156:AL187" si="32">IF(ISNA(VLOOKUP($AK156,$AK$43:$AP$56,AL$59,FALSE)),"",VLOOKUP($AK156,$AK$43:$AP$56,AL$59,FALSE))</f>
        <v>1 in.</v>
      </c>
      <c r="AM156" s="247" t="e">
        <f t="shared" si="30"/>
        <v>#REF!</v>
      </c>
      <c r="AN156" s="247" t="e">
        <f t="shared" si="30"/>
        <v>#N/A</v>
      </c>
      <c r="AO156" s="247" t="e">
        <f t="shared" si="30"/>
        <v>#N/A</v>
      </c>
      <c r="AP156" s="246" t="e">
        <f t="shared" si="30"/>
        <v>#N/A</v>
      </c>
      <c r="AQ156" s="248">
        <f>AQ67</f>
        <v>1</v>
      </c>
      <c r="AR156" s="174"/>
      <c r="AU156" s="247" t="e">
        <f t="shared" si="29"/>
        <v>#REF!</v>
      </c>
      <c r="AV156" s="247" t="e">
        <f t="shared" si="31"/>
        <v>#REF!</v>
      </c>
      <c r="AW156" s="246" t="str">
        <f t="shared" si="31"/>
        <v/>
      </c>
    </row>
    <row r="157" spans="37:49" x14ac:dyDescent="0.25">
      <c r="AK157" s="174">
        <v>97</v>
      </c>
      <c r="AL157" s="169" t="str">
        <f t="shared" si="32"/>
        <v/>
      </c>
      <c r="AM157" s="247" t="e">
        <f t="shared" si="30"/>
        <v>#N/A</v>
      </c>
      <c r="AN157" s="247" t="e">
        <f t="shared" si="30"/>
        <v>#N/A</v>
      </c>
      <c r="AO157" s="247" t="e">
        <f t="shared" si="30"/>
        <v>#N/A</v>
      </c>
      <c r="AP157" s="246" t="e">
        <f t="shared" si="30"/>
        <v>#N/A</v>
      </c>
      <c r="AQ157" s="169" t="e">
        <f>NA()</f>
        <v>#N/A</v>
      </c>
      <c r="AR157" s="174"/>
      <c r="AU157" s="247" t="e">
        <f t="shared" ref="AU157:AU188" si="33">IF(ISBLANK(VLOOKUP($AK157,$AK$43:$AU$56,AU$59,FALSE)),NA(),VLOOKUP($AK157,$AK$43:$AU$56,AU$59,FALSE))</f>
        <v>#N/A</v>
      </c>
      <c r="AV157" s="247" t="e">
        <f t="shared" si="31"/>
        <v>#N/A</v>
      </c>
      <c r="AW157" s="246" t="e">
        <f t="shared" si="31"/>
        <v>#N/A</v>
      </c>
    </row>
    <row r="158" spans="37:49" x14ac:dyDescent="0.25">
      <c r="AK158" s="174">
        <v>98</v>
      </c>
      <c r="AL158" s="169" t="str">
        <f t="shared" si="32"/>
        <v/>
      </c>
      <c r="AM158" s="247" t="e">
        <f t="shared" si="30"/>
        <v>#N/A</v>
      </c>
      <c r="AN158" s="247" t="e">
        <f t="shared" si="30"/>
        <v>#N/A</v>
      </c>
      <c r="AO158" s="247" t="e">
        <f t="shared" si="30"/>
        <v>#N/A</v>
      </c>
      <c r="AP158" s="246" t="e">
        <f t="shared" si="30"/>
        <v>#N/A</v>
      </c>
      <c r="AQ158" s="169" t="e">
        <f>NA()</f>
        <v>#N/A</v>
      </c>
      <c r="AR158" s="174"/>
      <c r="AU158" s="247" t="e">
        <f t="shared" si="33"/>
        <v>#N/A</v>
      </c>
      <c r="AV158" s="247" t="e">
        <f t="shared" si="31"/>
        <v>#N/A</v>
      </c>
      <c r="AW158" s="246" t="e">
        <f t="shared" si="31"/>
        <v>#N/A</v>
      </c>
    </row>
    <row r="159" spans="37:49" x14ac:dyDescent="0.25">
      <c r="AK159" s="174">
        <v>99</v>
      </c>
      <c r="AL159" s="169" t="str">
        <f t="shared" si="32"/>
        <v/>
      </c>
      <c r="AM159" s="247" t="e">
        <f t="shared" si="30"/>
        <v>#N/A</v>
      </c>
      <c r="AN159" s="247" t="e">
        <f t="shared" si="30"/>
        <v>#N/A</v>
      </c>
      <c r="AO159" s="247" t="e">
        <f t="shared" si="30"/>
        <v>#N/A</v>
      </c>
      <c r="AP159" s="246" t="e">
        <f t="shared" si="30"/>
        <v>#N/A</v>
      </c>
      <c r="AQ159" s="169" t="e">
        <f>NA()</f>
        <v>#N/A</v>
      </c>
      <c r="AR159" s="174"/>
      <c r="AU159" s="247" t="e">
        <f t="shared" si="33"/>
        <v>#N/A</v>
      </c>
      <c r="AV159" s="247" t="e">
        <f t="shared" si="31"/>
        <v>#N/A</v>
      </c>
      <c r="AW159" s="246" t="e">
        <f t="shared" si="31"/>
        <v>#N/A</v>
      </c>
    </row>
    <row r="160" spans="37:49" x14ac:dyDescent="0.25">
      <c r="AK160" s="174">
        <v>100</v>
      </c>
      <c r="AL160" s="169" t="str">
        <f t="shared" si="32"/>
        <v/>
      </c>
      <c r="AM160" s="247" t="e">
        <f t="shared" ref="AM160:AP179" si="34">IF(ISBLANK(VLOOKUP($AK160,$AK$43:$AP$56,AM$59,FALSE)),NA(),VLOOKUP($AK160,$AK$43:$AP$56,AM$59,FALSE))</f>
        <v>#N/A</v>
      </c>
      <c r="AN160" s="247" t="e">
        <f t="shared" si="34"/>
        <v>#N/A</v>
      </c>
      <c r="AO160" s="247" t="e">
        <f t="shared" si="34"/>
        <v>#N/A</v>
      </c>
      <c r="AP160" s="246" t="e">
        <f t="shared" si="34"/>
        <v>#N/A</v>
      </c>
      <c r="AQ160" s="169" t="e">
        <f>NA()</f>
        <v>#N/A</v>
      </c>
      <c r="AR160" s="174"/>
      <c r="AU160" s="247" t="e">
        <f t="shared" si="33"/>
        <v>#N/A</v>
      </c>
      <c r="AV160" s="247" t="e">
        <f t="shared" si="31"/>
        <v>#N/A</v>
      </c>
      <c r="AW160" s="246" t="e">
        <f t="shared" si="31"/>
        <v>#N/A</v>
      </c>
    </row>
    <row r="161" spans="37:49" x14ac:dyDescent="0.25">
      <c r="AK161" s="174">
        <v>101</v>
      </c>
      <c r="AL161" s="169" t="str">
        <f t="shared" si="32"/>
        <v/>
      </c>
      <c r="AM161" s="247" t="e">
        <f t="shared" si="34"/>
        <v>#N/A</v>
      </c>
      <c r="AN161" s="247" t="e">
        <f t="shared" si="34"/>
        <v>#N/A</v>
      </c>
      <c r="AO161" s="247" t="e">
        <f t="shared" si="34"/>
        <v>#N/A</v>
      </c>
      <c r="AP161" s="246" t="e">
        <f t="shared" si="34"/>
        <v>#N/A</v>
      </c>
      <c r="AQ161" s="169" t="e">
        <f>NA()</f>
        <v>#N/A</v>
      </c>
      <c r="AR161" s="174"/>
      <c r="AU161" s="247" t="e">
        <f t="shared" si="33"/>
        <v>#N/A</v>
      </c>
      <c r="AV161" s="247" t="e">
        <f t="shared" ref="AV161:AW180" si="35">IF(ISBLANK(VLOOKUP($AK161,$AK$43:$AW$56,AV$59,FALSE)),NA(),VLOOKUP($AK161,$AK$43:$AW$56,AV$59,FALSE))</f>
        <v>#N/A</v>
      </c>
      <c r="AW161" s="246" t="e">
        <f t="shared" si="35"/>
        <v>#N/A</v>
      </c>
    </row>
    <row r="162" spans="37:49" x14ac:dyDescent="0.25">
      <c r="AK162" s="174">
        <v>102</v>
      </c>
      <c r="AL162" s="169" t="str">
        <f t="shared" si="32"/>
        <v/>
      </c>
      <c r="AM162" s="247" t="e">
        <f t="shared" si="34"/>
        <v>#N/A</v>
      </c>
      <c r="AN162" s="247" t="e">
        <f t="shared" si="34"/>
        <v>#N/A</v>
      </c>
      <c r="AO162" s="247" t="e">
        <f t="shared" si="34"/>
        <v>#N/A</v>
      </c>
      <c r="AP162" s="246" t="e">
        <f t="shared" si="34"/>
        <v>#N/A</v>
      </c>
      <c r="AQ162" s="169" t="e">
        <f>NA()</f>
        <v>#N/A</v>
      </c>
      <c r="AR162" s="174"/>
      <c r="AU162" s="247" t="e">
        <f t="shared" si="33"/>
        <v>#N/A</v>
      </c>
      <c r="AV162" s="247" t="e">
        <f t="shared" si="35"/>
        <v>#N/A</v>
      </c>
      <c r="AW162" s="246" t="e">
        <f t="shared" si="35"/>
        <v>#N/A</v>
      </c>
    </row>
    <row r="163" spans="37:49" x14ac:dyDescent="0.25">
      <c r="AK163" s="174">
        <v>103</v>
      </c>
      <c r="AL163" s="169" t="str">
        <f t="shared" si="32"/>
        <v/>
      </c>
      <c r="AM163" s="247" t="e">
        <f t="shared" si="34"/>
        <v>#N/A</v>
      </c>
      <c r="AN163" s="247" t="e">
        <f t="shared" si="34"/>
        <v>#N/A</v>
      </c>
      <c r="AO163" s="247" t="e">
        <f t="shared" si="34"/>
        <v>#N/A</v>
      </c>
      <c r="AP163" s="246" t="e">
        <f t="shared" si="34"/>
        <v>#N/A</v>
      </c>
      <c r="AQ163" s="169" t="e">
        <f>NA()</f>
        <v>#N/A</v>
      </c>
      <c r="AR163" s="174"/>
      <c r="AU163" s="247" t="e">
        <f t="shared" si="33"/>
        <v>#N/A</v>
      </c>
      <c r="AV163" s="247" t="e">
        <f t="shared" si="35"/>
        <v>#N/A</v>
      </c>
      <c r="AW163" s="246" t="e">
        <f t="shared" si="35"/>
        <v>#N/A</v>
      </c>
    </row>
    <row r="164" spans="37:49" x14ac:dyDescent="0.25">
      <c r="AK164" s="174">
        <v>104</v>
      </c>
      <c r="AL164" s="169" t="str">
        <f t="shared" si="32"/>
        <v/>
      </c>
      <c r="AM164" s="247" t="e">
        <f t="shared" si="34"/>
        <v>#N/A</v>
      </c>
      <c r="AN164" s="247" t="e">
        <f t="shared" si="34"/>
        <v>#N/A</v>
      </c>
      <c r="AO164" s="247" t="e">
        <f t="shared" si="34"/>
        <v>#N/A</v>
      </c>
      <c r="AP164" s="246" t="e">
        <f t="shared" si="34"/>
        <v>#N/A</v>
      </c>
      <c r="AQ164" s="169" t="e">
        <f>NA()</f>
        <v>#N/A</v>
      </c>
      <c r="AR164" s="174"/>
      <c r="AU164" s="247" t="e">
        <f t="shared" si="33"/>
        <v>#N/A</v>
      </c>
      <c r="AV164" s="247" t="e">
        <f t="shared" si="35"/>
        <v>#N/A</v>
      </c>
      <c r="AW164" s="246" t="e">
        <f t="shared" si="35"/>
        <v>#N/A</v>
      </c>
    </row>
    <row r="165" spans="37:49" x14ac:dyDescent="0.25">
      <c r="AK165" s="174">
        <v>105</v>
      </c>
      <c r="AL165" s="169" t="str">
        <f t="shared" si="32"/>
        <v/>
      </c>
      <c r="AM165" s="247" t="e">
        <f t="shared" si="34"/>
        <v>#N/A</v>
      </c>
      <c r="AN165" s="247" t="e">
        <f t="shared" si="34"/>
        <v>#N/A</v>
      </c>
      <c r="AO165" s="247" t="e">
        <f t="shared" si="34"/>
        <v>#N/A</v>
      </c>
      <c r="AP165" s="246" t="e">
        <f t="shared" si="34"/>
        <v>#N/A</v>
      </c>
      <c r="AQ165" s="169" t="e">
        <f>NA()</f>
        <v>#N/A</v>
      </c>
      <c r="AR165" s="174"/>
      <c r="AU165" s="247" t="e">
        <f t="shared" si="33"/>
        <v>#N/A</v>
      </c>
      <c r="AV165" s="247" t="e">
        <f t="shared" si="35"/>
        <v>#N/A</v>
      </c>
      <c r="AW165" s="246" t="e">
        <f t="shared" si="35"/>
        <v>#N/A</v>
      </c>
    </row>
    <row r="166" spans="37:49" x14ac:dyDescent="0.25">
      <c r="AK166" s="174">
        <v>106</v>
      </c>
      <c r="AL166" s="169" t="str">
        <f t="shared" si="32"/>
        <v/>
      </c>
      <c r="AM166" s="247" t="e">
        <f t="shared" si="34"/>
        <v>#N/A</v>
      </c>
      <c r="AN166" s="247" t="e">
        <f t="shared" si="34"/>
        <v>#N/A</v>
      </c>
      <c r="AO166" s="247" t="e">
        <f t="shared" si="34"/>
        <v>#N/A</v>
      </c>
      <c r="AP166" s="246" t="e">
        <f t="shared" si="34"/>
        <v>#N/A</v>
      </c>
      <c r="AQ166" s="169" t="e">
        <f>NA()</f>
        <v>#N/A</v>
      </c>
      <c r="AR166" s="174"/>
      <c r="AU166" s="247" t="e">
        <f t="shared" si="33"/>
        <v>#N/A</v>
      </c>
      <c r="AV166" s="247" t="e">
        <f t="shared" si="35"/>
        <v>#N/A</v>
      </c>
      <c r="AW166" s="246" t="e">
        <f t="shared" si="35"/>
        <v>#N/A</v>
      </c>
    </row>
    <row r="167" spans="37:49" x14ac:dyDescent="0.25">
      <c r="AK167" s="174">
        <v>107</v>
      </c>
      <c r="AL167" s="169" t="str">
        <f t="shared" si="32"/>
        <v/>
      </c>
      <c r="AM167" s="247" t="e">
        <f t="shared" si="34"/>
        <v>#N/A</v>
      </c>
      <c r="AN167" s="247" t="e">
        <f t="shared" si="34"/>
        <v>#N/A</v>
      </c>
      <c r="AO167" s="247" t="e">
        <f t="shared" si="34"/>
        <v>#N/A</v>
      </c>
      <c r="AP167" s="246" t="e">
        <f t="shared" si="34"/>
        <v>#N/A</v>
      </c>
      <c r="AQ167" s="169" t="e">
        <f>NA()</f>
        <v>#N/A</v>
      </c>
      <c r="AR167" s="174"/>
      <c r="AU167" s="247" t="e">
        <f t="shared" si="33"/>
        <v>#N/A</v>
      </c>
      <c r="AV167" s="247" t="e">
        <f t="shared" si="35"/>
        <v>#N/A</v>
      </c>
      <c r="AW167" s="246" t="e">
        <f t="shared" si="35"/>
        <v>#N/A</v>
      </c>
    </row>
    <row r="168" spans="37:49" x14ac:dyDescent="0.25">
      <c r="AK168" s="174">
        <v>108</v>
      </c>
      <c r="AL168" s="169" t="str">
        <f t="shared" si="32"/>
        <v/>
      </c>
      <c r="AM168" s="247" t="e">
        <f t="shared" si="34"/>
        <v>#N/A</v>
      </c>
      <c r="AN168" s="247" t="e">
        <f t="shared" si="34"/>
        <v>#N/A</v>
      </c>
      <c r="AO168" s="247" t="e">
        <f t="shared" si="34"/>
        <v>#N/A</v>
      </c>
      <c r="AP168" s="246" t="e">
        <f t="shared" si="34"/>
        <v>#N/A</v>
      </c>
      <c r="AQ168" s="169" t="e">
        <f>NA()</f>
        <v>#N/A</v>
      </c>
      <c r="AR168" s="174"/>
      <c r="AU168" s="247" t="e">
        <f t="shared" si="33"/>
        <v>#N/A</v>
      </c>
      <c r="AV168" s="247" t="e">
        <f t="shared" si="35"/>
        <v>#N/A</v>
      </c>
      <c r="AW168" s="246" t="e">
        <f t="shared" si="35"/>
        <v>#N/A</v>
      </c>
    </row>
    <row r="169" spans="37:49" x14ac:dyDescent="0.25">
      <c r="AK169" s="174">
        <v>109</v>
      </c>
      <c r="AL169" s="169" t="str">
        <f t="shared" si="32"/>
        <v/>
      </c>
      <c r="AM169" s="247" t="e">
        <f t="shared" si="34"/>
        <v>#N/A</v>
      </c>
      <c r="AN169" s="247" t="e">
        <f t="shared" si="34"/>
        <v>#N/A</v>
      </c>
      <c r="AO169" s="247" t="e">
        <f t="shared" si="34"/>
        <v>#N/A</v>
      </c>
      <c r="AP169" s="246" t="e">
        <f t="shared" si="34"/>
        <v>#N/A</v>
      </c>
      <c r="AQ169" s="169" t="e">
        <f>NA()</f>
        <v>#N/A</v>
      </c>
      <c r="AR169" s="174"/>
      <c r="AU169" s="247" t="e">
        <f t="shared" si="33"/>
        <v>#N/A</v>
      </c>
      <c r="AV169" s="247" t="e">
        <f t="shared" si="35"/>
        <v>#N/A</v>
      </c>
      <c r="AW169" s="246" t="e">
        <f t="shared" si="35"/>
        <v>#N/A</v>
      </c>
    </row>
    <row r="170" spans="37:49" x14ac:dyDescent="0.25">
      <c r="AK170" s="174">
        <v>110</v>
      </c>
      <c r="AL170" s="169" t="str">
        <f t="shared" si="32"/>
        <v/>
      </c>
      <c r="AM170" s="247" t="e">
        <f t="shared" si="34"/>
        <v>#N/A</v>
      </c>
      <c r="AN170" s="247" t="e">
        <f t="shared" si="34"/>
        <v>#N/A</v>
      </c>
      <c r="AO170" s="247" t="e">
        <f t="shared" si="34"/>
        <v>#N/A</v>
      </c>
      <c r="AP170" s="246" t="e">
        <f t="shared" si="34"/>
        <v>#N/A</v>
      </c>
      <c r="AQ170" s="169" t="e">
        <f>NA()</f>
        <v>#N/A</v>
      </c>
      <c r="AR170" s="174"/>
      <c r="AU170" s="247" t="e">
        <f t="shared" si="33"/>
        <v>#N/A</v>
      </c>
      <c r="AV170" s="247" t="e">
        <f t="shared" si="35"/>
        <v>#N/A</v>
      </c>
      <c r="AW170" s="246" t="e">
        <f t="shared" si="35"/>
        <v>#N/A</v>
      </c>
    </row>
    <row r="171" spans="37:49" x14ac:dyDescent="0.25">
      <c r="AK171" s="174">
        <v>111</v>
      </c>
      <c r="AL171" s="169" t="str">
        <f t="shared" si="32"/>
        <v/>
      </c>
      <c r="AM171" s="247" t="e">
        <f t="shared" si="34"/>
        <v>#N/A</v>
      </c>
      <c r="AN171" s="247" t="e">
        <f t="shared" si="34"/>
        <v>#N/A</v>
      </c>
      <c r="AO171" s="247" t="e">
        <f t="shared" si="34"/>
        <v>#N/A</v>
      </c>
      <c r="AP171" s="246" t="e">
        <f t="shared" si="34"/>
        <v>#N/A</v>
      </c>
      <c r="AQ171" s="169" t="e">
        <f>NA()</f>
        <v>#N/A</v>
      </c>
      <c r="AR171" s="174"/>
      <c r="AU171" s="247" t="e">
        <f t="shared" si="33"/>
        <v>#N/A</v>
      </c>
      <c r="AV171" s="247" t="e">
        <f t="shared" si="35"/>
        <v>#N/A</v>
      </c>
      <c r="AW171" s="246" t="e">
        <f t="shared" si="35"/>
        <v>#N/A</v>
      </c>
    </row>
    <row r="172" spans="37:49" x14ac:dyDescent="0.25">
      <c r="AK172" s="174">
        <v>112</v>
      </c>
      <c r="AL172" s="169" t="str">
        <f t="shared" si="32"/>
        <v/>
      </c>
      <c r="AM172" s="247" t="e">
        <f t="shared" si="34"/>
        <v>#N/A</v>
      </c>
      <c r="AN172" s="247" t="e">
        <f t="shared" si="34"/>
        <v>#N/A</v>
      </c>
      <c r="AO172" s="247" t="e">
        <f t="shared" si="34"/>
        <v>#N/A</v>
      </c>
      <c r="AP172" s="246" t="e">
        <f t="shared" si="34"/>
        <v>#N/A</v>
      </c>
      <c r="AQ172" s="169" t="e">
        <f>NA()</f>
        <v>#N/A</v>
      </c>
      <c r="AR172" s="174"/>
      <c r="AU172" s="247" t="e">
        <f t="shared" si="33"/>
        <v>#N/A</v>
      </c>
      <c r="AV172" s="247" t="e">
        <f t="shared" si="35"/>
        <v>#N/A</v>
      </c>
      <c r="AW172" s="246" t="e">
        <f t="shared" si="35"/>
        <v>#N/A</v>
      </c>
    </row>
    <row r="173" spans="37:49" x14ac:dyDescent="0.25">
      <c r="AK173" s="174">
        <v>113</v>
      </c>
      <c r="AL173" s="169" t="str">
        <f t="shared" si="32"/>
        <v/>
      </c>
      <c r="AM173" s="247" t="e">
        <f t="shared" si="34"/>
        <v>#N/A</v>
      </c>
      <c r="AN173" s="247" t="e">
        <f t="shared" si="34"/>
        <v>#N/A</v>
      </c>
      <c r="AO173" s="247" t="e">
        <f t="shared" si="34"/>
        <v>#N/A</v>
      </c>
      <c r="AP173" s="246" t="e">
        <f t="shared" si="34"/>
        <v>#N/A</v>
      </c>
      <c r="AQ173" s="169" t="e">
        <f>NA()</f>
        <v>#N/A</v>
      </c>
      <c r="AR173" s="174"/>
      <c r="AU173" s="247" t="e">
        <f t="shared" si="33"/>
        <v>#N/A</v>
      </c>
      <c r="AV173" s="247" t="e">
        <f t="shared" si="35"/>
        <v>#N/A</v>
      </c>
      <c r="AW173" s="246" t="e">
        <f t="shared" si="35"/>
        <v>#N/A</v>
      </c>
    </row>
    <row r="174" spans="37:49" x14ac:dyDescent="0.25">
      <c r="AK174" s="174">
        <v>114</v>
      </c>
      <c r="AL174" s="169" t="str">
        <f t="shared" si="32"/>
        <v/>
      </c>
      <c r="AM174" s="247" t="e">
        <f t="shared" si="34"/>
        <v>#N/A</v>
      </c>
      <c r="AN174" s="247" t="e">
        <f t="shared" si="34"/>
        <v>#N/A</v>
      </c>
      <c r="AO174" s="247" t="e">
        <f t="shared" si="34"/>
        <v>#N/A</v>
      </c>
      <c r="AP174" s="246" t="e">
        <f t="shared" si="34"/>
        <v>#N/A</v>
      </c>
      <c r="AQ174" s="169" t="e">
        <f>NA()</f>
        <v>#N/A</v>
      </c>
      <c r="AR174" s="174"/>
      <c r="AU174" s="247" t="e">
        <f t="shared" si="33"/>
        <v>#N/A</v>
      </c>
      <c r="AV174" s="247" t="e">
        <f t="shared" si="35"/>
        <v>#N/A</v>
      </c>
      <c r="AW174" s="246" t="e">
        <f t="shared" si="35"/>
        <v>#N/A</v>
      </c>
    </row>
    <row r="175" spans="37:49" x14ac:dyDescent="0.25">
      <c r="AK175" s="174">
        <v>115</v>
      </c>
      <c r="AL175" s="169" t="str">
        <f t="shared" si="32"/>
        <v>1 1/2 in.</v>
      </c>
      <c r="AM175" s="247" t="e">
        <f t="shared" si="34"/>
        <v>#REF!</v>
      </c>
      <c r="AN175" s="247" t="e">
        <f t="shared" si="34"/>
        <v>#N/A</v>
      </c>
      <c r="AO175" s="247" t="e">
        <f t="shared" si="34"/>
        <v>#N/A</v>
      </c>
      <c r="AP175" s="246" t="e">
        <f t="shared" si="34"/>
        <v>#N/A</v>
      </c>
      <c r="AQ175" s="248">
        <f>AQ67</f>
        <v>1</v>
      </c>
      <c r="AR175" s="174"/>
      <c r="AU175" s="247" t="e">
        <f t="shared" si="33"/>
        <v>#REF!</v>
      </c>
      <c r="AV175" s="247" t="e">
        <f t="shared" si="35"/>
        <v>#REF!</v>
      </c>
      <c r="AW175" s="246" t="str">
        <f t="shared" si="35"/>
        <v/>
      </c>
    </row>
    <row r="176" spans="37:49" x14ac:dyDescent="0.25">
      <c r="AK176" s="174">
        <v>116</v>
      </c>
      <c r="AL176" s="169" t="str">
        <f t="shared" si="32"/>
        <v/>
      </c>
      <c r="AM176" s="247" t="e">
        <f t="shared" si="34"/>
        <v>#N/A</v>
      </c>
      <c r="AN176" s="247" t="e">
        <f t="shared" si="34"/>
        <v>#N/A</v>
      </c>
      <c r="AO176" s="247" t="e">
        <f t="shared" si="34"/>
        <v>#N/A</v>
      </c>
      <c r="AP176" s="246" t="e">
        <f t="shared" si="34"/>
        <v>#N/A</v>
      </c>
      <c r="AQ176" s="169" t="e">
        <f>NA()</f>
        <v>#N/A</v>
      </c>
      <c r="AR176" s="174"/>
      <c r="AU176" s="247" t="e">
        <f t="shared" si="33"/>
        <v>#N/A</v>
      </c>
      <c r="AV176" s="247" t="e">
        <f t="shared" si="35"/>
        <v>#N/A</v>
      </c>
      <c r="AW176" s="246" t="e">
        <f t="shared" si="35"/>
        <v>#N/A</v>
      </c>
    </row>
    <row r="177" spans="37:49" x14ac:dyDescent="0.25">
      <c r="AK177" s="174">
        <v>117</v>
      </c>
      <c r="AL177" s="169" t="str">
        <f t="shared" si="32"/>
        <v/>
      </c>
      <c r="AM177" s="247" t="e">
        <f t="shared" si="34"/>
        <v>#N/A</v>
      </c>
      <c r="AN177" s="247" t="e">
        <f t="shared" si="34"/>
        <v>#N/A</v>
      </c>
      <c r="AO177" s="247" t="e">
        <f t="shared" si="34"/>
        <v>#N/A</v>
      </c>
      <c r="AP177" s="246" t="e">
        <f t="shared" si="34"/>
        <v>#N/A</v>
      </c>
      <c r="AQ177" s="169" t="e">
        <f>NA()</f>
        <v>#N/A</v>
      </c>
      <c r="AR177" s="174"/>
      <c r="AU177" s="247" t="e">
        <f t="shared" si="33"/>
        <v>#N/A</v>
      </c>
      <c r="AV177" s="247" t="e">
        <f t="shared" si="35"/>
        <v>#N/A</v>
      </c>
      <c r="AW177" s="246" t="e">
        <f t="shared" si="35"/>
        <v>#N/A</v>
      </c>
    </row>
    <row r="178" spans="37:49" x14ac:dyDescent="0.25">
      <c r="AK178" s="174">
        <v>118</v>
      </c>
      <c r="AL178" s="169" t="str">
        <f t="shared" si="32"/>
        <v/>
      </c>
      <c r="AM178" s="247" t="e">
        <f t="shared" si="34"/>
        <v>#N/A</v>
      </c>
      <c r="AN178" s="247" t="e">
        <f t="shared" si="34"/>
        <v>#N/A</v>
      </c>
      <c r="AO178" s="247" t="e">
        <f t="shared" si="34"/>
        <v>#N/A</v>
      </c>
      <c r="AP178" s="246" t="e">
        <f t="shared" si="34"/>
        <v>#N/A</v>
      </c>
      <c r="AQ178" s="169" t="e">
        <f>NA()</f>
        <v>#N/A</v>
      </c>
      <c r="AR178" s="174"/>
      <c r="AU178" s="247" t="e">
        <f t="shared" si="33"/>
        <v>#N/A</v>
      </c>
      <c r="AV178" s="247" t="e">
        <f t="shared" si="35"/>
        <v>#N/A</v>
      </c>
      <c r="AW178" s="246" t="e">
        <f t="shared" si="35"/>
        <v>#N/A</v>
      </c>
    </row>
    <row r="179" spans="37:49" x14ac:dyDescent="0.25">
      <c r="AK179" s="174">
        <v>119</v>
      </c>
      <c r="AL179" s="169" t="str">
        <f t="shared" si="32"/>
        <v/>
      </c>
      <c r="AM179" s="247" t="e">
        <f t="shared" si="34"/>
        <v>#N/A</v>
      </c>
      <c r="AN179" s="247" t="e">
        <f t="shared" si="34"/>
        <v>#N/A</v>
      </c>
      <c r="AO179" s="247" t="e">
        <f t="shared" si="34"/>
        <v>#N/A</v>
      </c>
      <c r="AP179" s="246" t="e">
        <f t="shared" si="34"/>
        <v>#N/A</v>
      </c>
      <c r="AQ179" s="169" t="e">
        <f>NA()</f>
        <v>#N/A</v>
      </c>
      <c r="AR179" s="174"/>
      <c r="AU179" s="247" t="e">
        <f t="shared" si="33"/>
        <v>#N/A</v>
      </c>
      <c r="AV179" s="247" t="e">
        <f t="shared" si="35"/>
        <v>#N/A</v>
      </c>
      <c r="AW179" s="246" t="e">
        <f t="shared" si="35"/>
        <v>#N/A</v>
      </c>
    </row>
    <row r="180" spans="37:49" x14ac:dyDescent="0.25">
      <c r="AK180" s="174">
        <v>120</v>
      </c>
      <c r="AL180" s="169" t="str">
        <f t="shared" si="32"/>
        <v/>
      </c>
      <c r="AM180" s="247" t="e">
        <f t="shared" ref="AM180:AP198" si="36">IF(ISBLANK(VLOOKUP($AK180,$AK$43:$AP$56,AM$59,FALSE)),NA(),VLOOKUP($AK180,$AK$43:$AP$56,AM$59,FALSE))</f>
        <v>#N/A</v>
      </c>
      <c r="AN180" s="247" t="e">
        <f t="shared" si="36"/>
        <v>#N/A</v>
      </c>
      <c r="AO180" s="247" t="e">
        <f t="shared" si="36"/>
        <v>#N/A</v>
      </c>
      <c r="AP180" s="246" t="e">
        <f t="shared" si="36"/>
        <v>#N/A</v>
      </c>
      <c r="AQ180" s="169" t="e">
        <f>NA()</f>
        <v>#N/A</v>
      </c>
      <c r="AR180" s="174"/>
      <c r="AU180" s="247" t="e">
        <f t="shared" si="33"/>
        <v>#N/A</v>
      </c>
      <c r="AV180" s="247" t="e">
        <f t="shared" si="35"/>
        <v>#N/A</v>
      </c>
      <c r="AW180" s="246" t="e">
        <f t="shared" si="35"/>
        <v>#N/A</v>
      </c>
    </row>
    <row r="181" spans="37:49" x14ac:dyDescent="0.25">
      <c r="AK181" s="174">
        <v>121</v>
      </c>
      <c r="AL181" s="169" t="str">
        <f t="shared" si="32"/>
        <v/>
      </c>
      <c r="AM181" s="247" t="e">
        <f t="shared" si="36"/>
        <v>#N/A</v>
      </c>
      <c r="AN181" s="247" t="e">
        <f t="shared" si="36"/>
        <v>#N/A</v>
      </c>
      <c r="AO181" s="247" t="e">
        <f t="shared" si="36"/>
        <v>#N/A</v>
      </c>
      <c r="AP181" s="246" t="e">
        <f t="shared" si="36"/>
        <v>#N/A</v>
      </c>
      <c r="AQ181" s="169" t="e">
        <f>NA()</f>
        <v>#N/A</v>
      </c>
      <c r="AR181" s="174"/>
      <c r="AU181" s="247" t="e">
        <f t="shared" si="33"/>
        <v>#N/A</v>
      </c>
      <c r="AV181" s="247" t="e">
        <f t="shared" ref="AV181:AW198" si="37">IF(ISBLANK(VLOOKUP($AK181,$AK$43:$AW$56,AV$59,FALSE)),NA(),VLOOKUP($AK181,$AK$43:$AW$56,AV$59,FALSE))</f>
        <v>#N/A</v>
      </c>
      <c r="AW181" s="246" t="e">
        <f t="shared" si="37"/>
        <v>#N/A</v>
      </c>
    </row>
    <row r="182" spans="37:49" x14ac:dyDescent="0.25">
      <c r="AK182" s="174">
        <v>122</v>
      </c>
      <c r="AL182" s="169" t="str">
        <f t="shared" si="32"/>
        <v/>
      </c>
      <c r="AM182" s="247" t="e">
        <f t="shared" si="36"/>
        <v>#N/A</v>
      </c>
      <c r="AN182" s="247" t="e">
        <f t="shared" si="36"/>
        <v>#N/A</v>
      </c>
      <c r="AO182" s="247" t="e">
        <f t="shared" si="36"/>
        <v>#N/A</v>
      </c>
      <c r="AP182" s="246" t="e">
        <f t="shared" si="36"/>
        <v>#N/A</v>
      </c>
      <c r="AQ182" s="169" t="e">
        <f>NA()</f>
        <v>#N/A</v>
      </c>
      <c r="AR182" s="174"/>
      <c r="AU182" s="247" t="e">
        <f t="shared" si="33"/>
        <v>#N/A</v>
      </c>
      <c r="AV182" s="247" t="e">
        <f t="shared" si="37"/>
        <v>#N/A</v>
      </c>
      <c r="AW182" s="246" t="e">
        <f t="shared" si="37"/>
        <v>#N/A</v>
      </c>
    </row>
    <row r="183" spans="37:49" x14ac:dyDescent="0.25">
      <c r="AK183" s="174">
        <v>123</v>
      </c>
      <c r="AL183" s="169" t="str">
        <f t="shared" si="32"/>
        <v/>
      </c>
      <c r="AM183" s="247" t="e">
        <f t="shared" si="36"/>
        <v>#N/A</v>
      </c>
      <c r="AN183" s="247" t="e">
        <f t="shared" si="36"/>
        <v>#N/A</v>
      </c>
      <c r="AO183" s="247" t="e">
        <f t="shared" si="36"/>
        <v>#N/A</v>
      </c>
      <c r="AP183" s="246" t="e">
        <f t="shared" si="36"/>
        <v>#N/A</v>
      </c>
      <c r="AQ183" s="169" t="e">
        <f>NA()</f>
        <v>#N/A</v>
      </c>
      <c r="AR183" s="174"/>
      <c r="AU183" s="247" t="e">
        <f t="shared" si="33"/>
        <v>#N/A</v>
      </c>
      <c r="AV183" s="247" t="e">
        <f t="shared" si="37"/>
        <v>#N/A</v>
      </c>
      <c r="AW183" s="246" t="e">
        <f t="shared" si="37"/>
        <v>#N/A</v>
      </c>
    </row>
    <row r="184" spans="37:49" x14ac:dyDescent="0.25">
      <c r="AK184" s="174">
        <v>124</v>
      </c>
      <c r="AL184" s="169" t="str">
        <f t="shared" si="32"/>
        <v/>
      </c>
      <c r="AM184" s="247" t="e">
        <f t="shared" si="36"/>
        <v>#N/A</v>
      </c>
      <c r="AN184" s="247" t="e">
        <f t="shared" si="36"/>
        <v>#N/A</v>
      </c>
      <c r="AO184" s="247" t="e">
        <f t="shared" si="36"/>
        <v>#N/A</v>
      </c>
      <c r="AP184" s="246" t="e">
        <f t="shared" si="36"/>
        <v>#N/A</v>
      </c>
      <c r="AQ184" s="169" t="e">
        <f>NA()</f>
        <v>#N/A</v>
      </c>
      <c r="AR184" s="174"/>
      <c r="AU184" s="247" t="e">
        <f t="shared" si="33"/>
        <v>#N/A</v>
      </c>
      <c r="AV184" s="247" t="e">
        <f t="shared" si="37"/>
        <v>#N/A</v>
      </c>
      <c r="AW184" s="246" t="e">
        <f t="shared" si="37"/>
        <v>#N/A</v>
      </c>
    </row>
    <row r="185" spans="37:49" x14ac:dyDescent="0.25">
      <c r="AK185" s="174">
        <v>125</v>
      </c>
      <c r="AL185" s="169" t="str">
        <f t="shared" si="32"/>
        <v/>
      </c>
      <c r="AM185" s="247" t="e">
        <f t="shared" si="36"/>
        <v>#N/A</v>
      </c>
      <c r="AN185" s="247" t="e">
        <f t="shared" si="36"/>
        <v>#N/A</v>
      </c>
      <c r="AO185" s="247" t="e">
        <f t="shared" si="36"/>
        <v>#N/A</v>
      </c>
      <c r="AP185" s="246" t="e">
        <f t="shared" si="36"/>
        <v>#N/A</v>
      </c>
      <c r="AQ185" s="169" t="e">
        <f>NA()</f>
        <v>#N/A</v>
      </c>
      <c r="AR185" s="174"/>
      <c r="AU185" s="247" t="e">
        <f t="shared" si="33"/>
        <v>#N/A</v>
      </c>
      <c r="AV185" s="247" t="e">
        <f t="shared" si="37"/>
        <v>#N/A</v>
      </c>
      <c r="AW185" s="246" t="e">
        <f t="shared" si="37"/>
        <v>#N/A</v>
      </c>
    </row>
    <row r="186" spans="37:49" x14ac:dyDescent="0.25">
      <c r="AK186" s="174">
        <v>126</v>
      </c>
      <c r="AL186" s="169" t="str">
        <f t="shared" si="32"/>
        <v/>
      </c>
      <c r="AM186" s="247" t="e">
        <f t="shared" si="36"/>
        <v>#N/A</v>
      </c>
      <c r="AN186" s="247" t="e">
        <f t="shared" si="36"/>
        <v>#N/A</v>
      </c>
      <c r="AO186" s="247" t="e">
        <f t="shared" si="36"/>
        <v>#N/A</v>
      </c>
      <c r="AP186" s="246" t="e">
        <f t="shared" si="36"/>
        <v>#N/A</v>
      </c>
      <c r="AQ186" s="169" t="e">
        <f>NA()</f>
        <v>#N/A</v>
      </c>
      <c r="AR186" s="174"/>
      <c r="AU186" s="247" t="e">
        <f t="shared" si="33"/>
        <v>#N/A</v>
      </c>
      <c r="AV186" s="247" t="e">
        <f t="shared" si="37"/>
        <v>#N/A</v>
      </c>
      <c r="AW186" s="246" t="e">
        <f t="shared" si="37"/>
        <v>#N/A</v>
      </c>
    </row>
    <row r="187" spans="37:49" x14ac:dyDescent="0.25">
      <c r="AK187" s="174">
        <v>127</v>
      </c>
      <c r="AL187" s="169" t="str">
        <f t="shared" si="32"/>
        <v/>
      </c>
      <c r="AM187" s="247" t="e">
        <f t="shared" si="36"/>
        <v>#N/A</v>
      </c>
      <c r="AN187" s="247" t="e">
        <f t="shared" si="36"/>
        <v>#N/A</v>
      </c>
      <c r="AO187" s="247" t="e">
        <f t="shared" si="36"/>
        <v>#N/A</v>
      </c>
      <c r="AP187" s="246" t="e">
        <f t="shared" si="36"/>
        <v>#N/A</v>
      </c>
      <c r="AQ187" s="169" t="e">
        <f>NA()</f>
        <v>#N/A</v>
      </c>
      <c r="AR187" s="174"/>
      <c r="AU187" s="247" t="e">
        <f t="shared" si="33"/>
        <v>#N/A</v>
      </c>
      <c r="AV187" s="247" t="e">
        <f t="shared" si="37"/>
        <v>#N/A</v>
      </c>
      <c r="AW187" s="246" t="e">
        <f t="shared" si="37"/>
        <v>#N/A</v>
      </c>
    </row>
    <row r="188" spans="37:49" x14ac:dyDescent="0.25">
      <c r="AK188" s="174">
        <v>128</v>
      </c>
      <c r="AL188" s="169" t="str">
        <f t="shared" ref="AL188:AL198" si="38">IF(ISNA(VLOOKUP($AK188,$AK$43:$AP$56,AL$59,FALSE)),"",VLOOKUP($AK188,$AK$43:$AP$56,AL$59,FALSE))</f>
        <v/>
      </c>
      <c r="AM188" s="247" t="e">
        <f t="shared" si="36"/>
        <v>#N/A</v>
      </c>
      <c r="AN188" s="247" t="e">
        <f t="shared" si="36"/>
        <v>#N/A</v>
      </c>
      <c r="AO188" s="247" t="e">
        <f t="shared" si="36"/>
        <v>#N/A</v>
      </c>
      <c r="AP188" s="246" t="e">
        <f t="shared" si="36"/>
        <v>#N/A</v>
      </c>
      <c r="AQ188" s="169" t="e">
        <f>NA()</f>
        <v>#N/A</v>
      </c>
      <c r="AR188" s="174"/>
      <c r="AU188" s="247" t="e">
        <f t="shared" si="33"/>
        <v>#N/A</v>
      </c>
      <c r="AV188" s="247" t="e">
        <f t="shared" si="37"/>
        <v>#N/A</v>
      </c>
      <c r="AW188" s="246" t="e">
        <f t="shared" si="37"/>
        <v>#N/A</v>
      </c>
    </row>
    <row r="189" spans="37:49" x14ac:dyDescent="0.25">
      <c r="AK189" s="174">
        <v>129</v>
      </c>
      <c r="AL189" s="169" t="str">
        <f t="shared" si="38"/>
        <v/>
      </c>
      <c r="AM189" s="247" t="e">
        <f t="shared" si="36"/>
        <v>#N/A</v>
      </c>
      <c r="AN189" s="247" t="e">
        <f t="shared" si="36"/>
        <v>#N/A</v>
      </c>
      <c r="AO189" s="247" t="e">
        <f t="shared" si="36"/>
        <v>#N/A</v>
      </c>
      <c r="AP189" s="246" t="e">
        <f t="shared" si="36"/>
        <v>#N/A</v>
      </c>
      <c r="AQ189" s="169" t="e">
        <f>NA()</f>
        <v>#N/A</v>
      </c>
      <c r="AR189" s="174"/>
      <c r="AU189" s="247" t="e">
        <f t="shared" ref="AU189:AU198" si="39">IF(ISBLANK(VLOOKUP($AK189,$AK$43:$AU$56,AU$59,FALSE)),NA(),VLOOKUP($AK189,$AK$43:$AU$56,AU$59,FALSE))</f>
        <v>#N/A</v>
      </c>
      <c r="AV189" s="247" t="e">
        <f t="shared" si="37"/>
        <v>#N/A</v>
      </c>
      <c r="AW189" s="246" t="e">
        <f t="shared" si="37"/>
        <v>#N/A</v>
      </c>
    </row>
    <row r="190" spans="37:49" x14ac:dyDescent="0.25">
      <c r="AK190" s="174">
        <v>130</v>
      </c>
      <c r="AL190" s="169" t="str">
        <f t="shared" si="38"/>
        <v/>
      </c>
      <c r="AM190" s="247" t="e">
        <f t="shared" si="36"/>
        <v>#N/A</v>
      </c>
      <c r="AN190" s="247" t="e">
        <f t="shared" si="36"/>
        <v>#N/A</v>
      </c>
      <c r="AO190" s="247" t="e">
        <f t="shared" si="36"/>
        <v>#N/A</v>
      </c>
      <c r="AP190" s="246" t="e">
        <f t="shared" si="36"/>
        <v>#N/A</v>
      </c>
      <c r="AQ190" s="169" t="e">
        <f>NA()</f>
        <v>#N/A</v>
      </c>
      <c r="AR190" s="174"/>
      <c r="AU190" s="247" t="e">
        <f t="shared" si="39"/>
        <v>#N/A</v>
      </c>
      <c r="AV190" s="247" t="e">
        <f t="shared" si="37"/>
        <v>#N/A</v>
      </c>
      <c r="AW190" s="246" t="e">
        <f t="shared" si="37"/>
        <v>#N/A</v>
      </c>
    </row>
    <row r="191" spans="37:49" x14ac:dyDescent="0.25">
      <c r="AK191" s="174">
        <v>131</v>
      </c>
      <c r="AL191" s="169" t="str">
        <f t="shared" si="38"/>
        <v>2 in.</v>
      </c>
      <c r="AM191" s="247" t="e">
        <f t="shared" si="36"/>
        <v>#REF!</v>
      </c>
      <c r="AN191" s="247" t="e">
        <f t="shared" si="36"/>
        <v>#N/A</v>
      </c>
      <c r="AO191" s="247" t="e">
        <f t="shared" si="36"/>
        <v>#DIV/0!</v>
      </c>
      <c r="AP191" s="246" t="e">
        <f t="shared" si="36"/>
        <v>#DIV/0!</v>
      </c>
      <c r="AQ191" s="248">
        <f>AQ67</f>
        <v>1</v>
      </c>
      <c r="AR191" s="174"/>
      <c r="AU191" s="247" t="e">
        <f t="shared" si="39"/>
        <v>#REF!</v>
      </c>
      <c r="AV191" s="247" t="e">
        <f t="shared" si="37"/>
        <v>#REF!</v>
      </c>
      <c r="AW191" s="246" t="str">
        <f t="shared" si="37"/>
        <v/>
      </c>
    </row>
    <row r="192" spans="37:49" x14ac:dyDescent="0.25">
      <c r="AK192" s="174">
        <v>132</v>
      </c>
      <c r="AL192" s="169" t="str">
        <f t="shared" si="38"/>
        <v/>
      </c>
      <c r="AM192" s="247" t="e">
        <f t="shared" si="36"/>
        <v>#N/A</v>
      </c>
      <c r="AN192" s="247" t="e">
        <f t="shared" si="36"/>
        <v>#N/A</v>
      </c>
      <c r="AO192" s="247" t="e">
        <f t="shared" si="36"/>
        <v>#N/A</v>
      </c>
      <c r="AP192" s="246" t="e">
        <f t="shared" si="36"/>
        <v>#N/A</v>
      </c>
      <c r="AQ192" s="169" t="e">
        <f>NA()</f>
        <v>#N/A</v>
      </c>
      <c r="AR192" s="174"/>
      <c r="AU192" s="247" t="e">
        <f t="shared" si="39"/>
        <v>#N/A</v>
      </c>
      <c r="AV192" s="247" t="e">
        <f t="shared" si="37"/>
        <v>#N/A</v>
      </c>
      <c r="AW192" s="246" t="e">
        <f t="shared" si="37"/>
        <v>#N/A</v>
      </c>
    </row>
    <row r="193" spans="37:49" x14ac:dyDescent="0.25">
      <c r="AK193" s="174">
        <v>133</v>
      </c>
      <c r="AL193" s="169" t="str">
        <f t="shared" si="38"/>
        <v/>
      </c>
      <c r="AM193" s="247" t="e">
        <f t="shared" si="36"/>
        <v>#N/A</v>
      </c>
      <c r="AN193" s="247" t="e">
        <f t="shared" si="36"/>
        <v>#N/A</v>
      </c>
      <c r="AO193" s="247" t="e">
        <f t="shared" si="36"/>
        <v>#N/A</v>
      </c>
      <c r="AP193" s="246" t="e">
        <f t="shared" si="36"/>
        <v>#N/A</v>
      </c>
      <c r="AQ193" s="169" t="e">
        <f>NA()</f>
        <v>#N/A</v>
      </c>
      <c r="AR193" s="174"/>
      <c r="AU193" s="247" t="e">
        <f t="shared" si="39"/>
        <v>#N/A</v>
      </c>
      <c r="AV193" s="247" t="e">
        <f t="shared" si="37"/>
        <v>#N/A</v>
      </c>
      <c r="AW193" s="246" t="e">
        <f t="shared" si="37"/>
        <v>#N/A</v>
      </c>
    </row>
    <row r="194" spans="37:49" x14ac:dyDescent="0.25">
      <c r="AK194" s="174">
        <v>134</v>
      </c>
      <c r="AL194" s="169" t="str">
        <f t="shared" si="38"/>
        <v/>
      </c>
      <c r="AM194" s="247" t="e">
        <f t="shared" si="36"/>
        <v>#N/A</v>
      </c>
      <c r="AN194" s="247" t="e">
        <f t="shared" si="36"/>
        <v>#N/A</v>
      </c>
      <c r="AO194" s="247" t="e">
        <f t="shared" si="36"/>
        <v>#N/A</v>
      </c>
      <c r="AP194" s="246" t="e">
        <f t="shared" si="36"/>
        <v>#N/A</v>
      </c>
      <c r="AQ194" s="169" t="e">
        <f>NA()</f>
        <v>#N/A</v>
      </c>
      <c r="AR194" s="174"/>
      <c r="AU194" s="247" t="e">
        <f t="shared" si="39"/>
        <v>#N/A</v>
      </c>
      <c r="AV194" s="247" t="e">
        <f t="shared" si="37"/>
        <v>#N/A</v>
      </c>
      <c r="AW194" s="246" t="e">
        <f t="shared" si="37"/>
        <v>#N/A</v>
      </c>
    </row>
    <row r="195" spans="37:49" x14ac:dyDescent="0.25">
      <c r="AK195" s="174">
        <v>135</v>
      </c>
      <c r="AL195" s="169" t="str">
        <f t="shared" si="38"/>
        <v/>
      </c>
      <c r="AM195" s="247" t="e">
        <f t="shared" si="36"/>
        <v>#N/A</v>
      </c>
      <c r="AN195" s="247" t="e">
        <f t="shared" si="36"/>
        <v>#N/A</v>
      </c>
      <c r="AO195" s="247" t="e">
        <f t="shared" si="36"/>
        <v>#N/A</v>
      </c>
      <c r="AP195" s="246" t="e">
        <f t="shared" si="36"/>
        <v>#N/A</v>
      </c>
      <c r="AQ195" s="169" t="e">
        <f>NA()</f>
        <v>#N/A</v>
      </c>
      <c r="AR195" s="174"/>
      <c r="AU195" s="247" t="e">
        <f t="shared" si="39"/>
        <v>#N/A</v>
      </c>
      <c r="AV195" s="247" t="e">
        <f t="shared" si="37"/>
        <v>#N/A</v>
      </c>
      <c r="AW195" s="246" t="e">
        <f t="shared" si="37"/>
        <v>#N/A</v>
      </c>
    </row>
    <row r="196" spans="37:49" x14ac:dyDescent="0.25">
      <c r="AK196" s="174">
        <v>136</v>
      </c>
      <c r="AL196" s="169" t="str">
        <f t="shared" si="38"/>
        <v/>
      </c>
      <c r="AM196" s="247" t="e">
        <f t="shared" si="36"/>
        <v>#N/A</v>
      </c>
      <c r="AN196" s="247" t="e">
        <f t="shared" si="36"/>
        <v>#N/A</v>
      </c>
      <c r="AO196" s="247" t="e">
        <f t="shared" si="36"/>
        <v>#N/A</v>
      </c>
      <c r="AP196" s="246" t="e">
        <f t="shared" si="36"/>
        <v>#N/A</v>
      </c>
      <c r="AQ196" s="169" t="e">
        <f>NA()</f>
        <v>#N/A</v>
      </c>
      <c r="AR196" s="174"/>
      <c r="AU196" s="247" t="e">
        <f t="shared" si="39"/>
        <v>#N/A</v>
      </c>
      <c r="AV196" s="247" t="e">
        <f t="shared" si="37"/>
        <v>#N/A</v>
      </c>
      <c r="AW196" s="246" t="e">
        <f t="shared" si="37"/>
        <v>#N/A</v>
      </c>
    </row>
    <row r="197" spans="37:49" x14ac:dyDescent="0.25">
      <c r="AK197" s="174">
        <v>137</v>
      </c>
      <c r="AL197" s="169" t="str">
        <f t="shared" si="38"/>
        <v/>
      </c>
      <c r="AM197" s="247" t="e">
        <f t="shared" si="36"/>
        <v>#N/A</v>
      </c>
      <c r="AN197" s="247" t="e">
        <f t="shared" si="36"/>
        <v>#N/A</v>
      </c>
      <c r="AO197" s="247" t="e">
        <f t="shared" si="36"/>
        <v>#N/A</v>
      </c>
      <c r="AP197" s="246" t="e">
        <f t="shared" si="36"/>
        <v>#N/A</v>
      </c>
      <c r="AQ197" s="169" t="e">
        <f>NA()</f>
        <v>#N/A</v>
      </c>
      <c r="AR197" s="174"/>
      <c r="AU197" s="247" t="e">
        <f t="shared" si="39"/>
        <v>#N/A</v>
      </c>
      <c r="AV197" s="247" t="e">
        <f t="shared" si="37"/>
        <v>#N/A</v>
      </c>
      <c r="AW197" s="246" t="e">
        <f t="shared" si="37"/>
        <v>#N/A</v>
      </c>
    </row>
    <row r="198" spans="37:49" x14ac:dyDescent="0.25">
      <c r="AK198" s="172">
        <v>138</v>
      </c>
      <c r="AL198" s="171" t="str">
        <f t="shared" si="38"/>
        <v/>
      </c>
      <c r="AM198" s="245" t="e">
        <f t="shared" si="36"/>
        <v>#N/A</v>
      </c>
      <c r="AN198" s="245" t="e">
        <f t="shared" si="36"/>
        <v>#N/A</v>
      </c>
      <c r="AO198" s="245" t="e">
        <f t="shared" si="36"/>
        <v>#N/A</v>
      </c>
      <c r="AP198" s="244" t="e">
        <f t="shared" si="36"/>
        <v>#N/A</v>
      </c>
      <c r="AQ198" s="169" t="e">
        <f>NA()</f>
        <v>#N/A</v>
      </c>
      <c r="AR198" s="172"/>
      <c r="AS198" s="171"/>
      <c r="AT198" s="171"/>
      <c r="AU198" s="245" t="e">
        <f t="shared" si="39"/>
        <v>#N/A</v>
      </c>
      <c r="AV198" s="245" t="e">
        <f t="shared" si="37"/>
        <v>#N/A</v>
      </c>
      <c r="AW198" s="244" t="e">
        <f t="shared" si="37"/>
        <v>#N/A</v>
      </c>
    </row>
  </sheetData>
  <mergeCells count="12">
    <mergeCell ref="Q8:Q20"/>
    <mergeCell ref="R8:R20"/>
    <mergeCell ref="O21:O26"/>
    <mergeCell ref="P21:P26"/>
    <mergeCell ref="Q21:Q26"/>
    <mergeCell ref="R21:R26"/>
    <mergeCell ref="P8:P20"/>
    <mergeCell ref="H7:L7"/>
    <mergeCell ref="H8:L8"/>
    <mergeCell ref="H9:L9"/>
    <mergeCell ref="H10:L10"/>
    <mergeCell ref="O8:O20"/>
  </mergeCells>
  <conditionalFormatting sqref="L30">
    <cfRule type="cellIs" dxfId="6" priority="1" operator="equal">
      <formula>1</formula>
    </cfRule>
  </conditionalFormatting>
  <printOptions horizontalCentered="1" verticalCentered="1"/>
  <pageMargins left="0.7" right="0.7" top="0.75" bottom="0.75" header="0.3" footer="0.3"/>
  <pageSetup scale="90" orientation="portrait" r:id="rId1"/>
  <colBreaks count="1" manualBreakCount="1">
    <brk id="14" min="3" max="5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AW198"/>
  <sheetViews>
    <sheetView view="pageBreakPreview" topLeftCell="AF1" zoomScaleNormal="100" zoomScaleSheetLayoutView="100" workbookViewId="0">
      <selection activeCell="AO60" sqref="AO60"/>
    </sheetView>
  </sheetViews>
  <sheetFormatPr defaultColWidth="9.140625" defaultRowHeight="15" x14ac:dyDescent="0.25"/>
  <cols>
    <col min="1" max="3" width="9.140625" style="18"/>
    <col min="4" max="4" width="9.140625" style="18" customWidth="1"/>
    <col min="5" max="5" width="9.140625" style="18"/>
    <col min="6" max="14" width="9.85546875" style="18" customWidth="1"/>
    <col min="15" max="18" width="2.28515625" style="18" customWidth="1"/>
    <col min="19" max="16384" width="9.140625" style="18"/>
  </cols>
  <sheetData>
    <row r="2" spans="1:18" ht="21" x14ac:dyDescent="0.35">
      <c r="F2" s="168" t="s">
        <v>183</v>
      </c>
    </row>
    <row r="3" spans="1:18" x14ac:dyDescent="0.25">
      <c r="F3" s="18" t="s">
        <v>182</v>
      </c>
    </row>
    <row r="4" spans="1:18" x14ac:dyDescent="0.25">
      <c r="E4" s="65"/>
      <c r="F4" s="48"/>
      <c r="G4" s="48"/>
      <c r="H4" s="48"/>
      <c r="I4" s="48"/>
      <c r="J4" s="109" t="str">
        <f>'Aggregate Charts'!F4</f>
        <v>Aggregate Data</v>
      </c>
      <c r="K4" s="48"/>
      <c r="L4" s="48"/>
      <c r="M4" s="48"/>
      <c r="N4" s="47"/>
    </row>
    <row r="5" spans="1:18" x14ac:dyDescent="0.25">
      <c r="E5" s="23"/>
      <c r="J5" s="106" t="str">
        <f>'Aggregate Charts'!F5</f>
        <v>Coarseness Factor Chart, 0.45 Power Chart, and Percent Retained Chart</v>
      </c>
      <c r="N5" s="22"/>
    </row>
    <row r="6" spans="1:18" x14ac:dyDescent="0.25">
      <c r="E6" s="23"/>
      <c r="N6" s="22"/>
    </row>
    <row r="7" spans="1:18" x14ac:dyDescent="0.25">
      <c r="E7" s="23"/>
      <c r="F7" s="105"/>
      <c r="G7" s="104" t="str">
        <f>'Aggregate Charts'!C7</f>
        <v>Project</v>
      </c>
      <c r="H7" s="896" t="str">
        <f>'Aggregate Charts'!D7</f>
        <v/>
      </c>
      <c r="I7" s="896"/>
      <c r="J7" s="896"/>
      <c r="K7" s="896"/>
      <c r="L7" s="897"/>
      <c r="N7" s="22"/>
    </row>
    <row r="8" spans="1:18" ht="15" customHeight="1" x14ac:dyDescent="0.25">
      <c r="E8" s="23"/>
      <c r="F8" s="103"/>
      <c r="G8" s="102" t="str">
        <f>'Aggregate Charts'!C8</f>
        <v>Concrete Class</v>
      </c>
      <c r="H8" s="898" t="str">
        <f>'Aggregate Charts'!D8</f>
        <v/>
      </c>
      <c r="I8" s="898"/>
      <c r="J8" s="898"/>
      <c r="K8" s="898"/>
      <c r="L8" s="899"/>
      <c r="N8" s="22"/>
      <c r="O8" s="829" t="str">
        <f>'Aggregate Charts'!L4</f>
        <v/>
      </c>
      <c r="P8" s="834" t="str">
        <f>'Aggregate Charts'!M4</f>
        <v/>
      </c>
      <c r="Q8" s="834" t="str">
        <f>'Aggregate Charts'!N4</f>
        <v/>
      </c>
      <c r="R8" s="836" t="str">
        <f>'Aggregate Charts'!O4</f>
        <v/>
      </c>
    </row>
    <row r="9" spans="1:18" x14ac:dyDescent="0.25">
      <c r="E9" s="23"/>
      <c r="F9" s="103"/>
      <c r="G9" s="102" t="str">
        <f>'Aggregate Charts'!C9</f>
        <v>PE of Record</v>
      </c>
      <c r="H9" s="898" t="str">
        <f>'Aggregate Charts'!D9</f>
        <v/>
      </c>
      <c r="I9" s="898"/>
      <c r="J9" s="898"/>
      <c r="K9" s="898"/>
      <c r="L9" s="899"/>
      <c r="N9" s="22"/>
      <c r="O9" s="830"/>
      <c r="P9" s="835"/>
      <c r="Q9" s="835"/>
      <c r="R9" s="837"/>
    </row>
    <row r="10" spans="1:18" x14ac:dyDescent="0.25">
      <c r="E10" s="23"/>
      <c r="F10" s="101"/>
      <c r="G10" s="100" t="str">
        <f>'Aggregate Charts'!C10</f>
        <v>Date Submitted</v>
      </c>
      <c r="H10" s="900" t="str">
        <f>'Aggregate Charts'!D10</f>
        <v/>
      </c>
      <c r="I10" s="900"/>
      <c r="J10" s="900"/>
      <c r="K10" s="900"/>
      <c r="L10" s="901"/>
      <c r="N10" s="22"/>
      <c r="O10" s="830"/>
      <c r="P10" s="835"/>
      <c r="Q10" s="835"/>
      <c r="R10" s="837"/>
    </row>
    <row r="11" spans="1:18" x14ac:dyDescent="0.25">
      <c r="E11" s="23"/>
      <c r="N11" s="22"/>
      <c r="O11" s="830"/>
      <c r="P11" s="835"/>
      <c r="Q11" s="835"/>
      <c r="R11" s="837"/>
    </row>
    <row r="12" spans="1:18" x14ac:dyDescent="0.25">
      <c r="E12" s="23"/>
      <c r="H12" s="99"/>
      <c r="I12" s="50"/>
      <c r="J12" s="167" t="str">
        <f>'Aggregate Charts'!F12</f>
        <v>Cementitious Material =</v>
      </c>
      <c r="K12" s="110">
        <f>'Aggregate Charts'!G12</f>
        <v>0</v>
      </c>
      <c r="L12" s="97" t="str">
        <f>'Aggregate Charts'!H12</f>
        <v>lb/yd3</v>
      </c>
      <c r="N12" s="22"/>
      <c r="O12" s="830"/>
      <c r="P12" s="835"/>
      <c r="Q12" s="835"/>
      <c r="R12" s="837"/>
    </row>
    <row r="13" spans="1:18" x14ac:dyDescent="0.25">
      <c r="E13" s="96"/>
      <c r="F13" s="65" t="str">
        <f>'Aggregate Charts'!B13</f>
        <v>Coarse Aggregate</v>
      </c>
      <c r="G13" s="48"/>
      <c r="H13" s="47"/>
      <c r="I13" s="65" t="str">
        <f>'Aggregate Charts'!E13</f>
        <v>Mid</v>
      </c>
      <c r="J13" s="65" t="str">
        <f>'Aggregate Charts'!F13</f>
        <v>Fine Aggregate</v>
      </c>
      <c r="K13" s="47"/>
      <c r="L13" s="65" t="str">
        <f>'Aggregate Charts'!H13</f>
        <v>Combined</v>
      </c>
      <c r="M13" s="47"/>
      <c r="N13" s="145" t="str">
        <f>'Aggregate Charts'!J13</f>
        <v>Each</v>
      </c>
      <c r="O13" s="830"/>
      <c r="P13" s="835"/>
      <c r="Q13" s="835"/>
      <c r="R13" s="837"/>
    </row>
    <row r="14" spans="1:18" x14ac:dyDescent="0.25">
      <c r="E14" s="95"/>
      <c r="F14" s="166">
        <f>'Aggregate Charts'!B14</f>
        <v>1</v>
      </c>
      <c r="G14" s="41">
        <f>'Aggregate Charts'!C14</f>
        <v>2</v>
      </c>
      <c r="H14" s="165">
        <f>'Aggregate Charts'!D14</f>
        <v>3</v>
      </c>
      <c r="I14" s="165">
        <f>'Aggregate Charts'!E14</f>
        <v>1</v>
      </c>
      <c r="J14" s="166">
        <f>'Aggregate Charts'!F14</f>
        <v>1</v>
      </c>
      <c r="K14" s="165">
        <f>'Aggregate Charts'!G14</f>
        <v>2</v>
      </c>
      <c r="L14" s="23" t="str">
        <f>'Aggregate Charts'!H14</f>
        <v>Aggregate 1</v>
      </c>
      <c r="M14" s="22"/>
      <c r="N14" s="164" t="str">
        <f>'Aggregate Charts'!J14</f>
        <v>Sieve 2</v>
      </c>
      <c r="O14" s="830"/>
      <c r="P14" s="835"/>
      <c r="Q14" s="835"/>
      <c r="R14" s="837"/>
    </row>
    <row r="15" spans="1:18" x14ac:dyDescent="0.25">
      <c r="A15" s="65" t="s">
        <v>181</v>
      </c>
      <c r="B15" s="48"/>
      <c r="C15" s="47"/>
      <c r="E15" s="91" t="str">
        <f>'Aggregate Charts'!A16</f>
        <v>Sieve</v>
      </c>
      <c r="F15" s="89" t="str">
        <f>'Aggregate Charts'!B16</f>
        <v>% Passing</v>
      </c>
      <c r="G15" s="163" t="str">
        <f>'Aggregate Charts'!C16</f>
        <v>% Passing</v>
      </c>
      <c r="H15" s="162" t="str">
        <f>'Aggregate Charts'!D16</f>
        <v>% Passing</v>
      </c>
      <c r="I15" s="162" t="str">
        <f>'Aggregate Charts'!E16</f>
        <v>% Passing</v>
      </c>
      <c r="J15" s="89" t="str">
        <f>'Aggregate Charts'!F16</f>
        <v>% Passing</v>
      </c>
      <c r="K15" s="162" t="str">
        <f>'Aggregate Charts'!G16</f>
        <v>% Passing</v>
      </c>
      <c r="L15" s="89" t="str">
        <f>'Aggregate Charts'!H16</f>
        <v>% Passing</v>
      </c>
      <c r="M15" s="162" t="str">
        <f>'Aggregate Charts'!I16</f>
        <v>% Retained</v>
      </c>
      <c r="N15" s="161" t="str">
        <f>'Aggregate Charts'!J16</f>
        <v>% Retained</v>
      </c>
      <c r="O15" s="830"/>
      <c r="P15" s="835"/>
      <c r="Q15" s="835"/>
      <c r="R15" s="837"/>
    </row>
    <row r="16" spans="1:18" x14ac:dyDescent="0.25">
      <c r="A16" s="23">
        <v>0</v>
      </c>
      <c r="B16" s="18">
        <v>0</v>
      </c>
      <c r="C16" s="113">
        <f t="shared" ref="C16:C28" si="0">1-(A16+B16)/2/100</f>
        <v>1</v>
      </c>
      <c r="D16" s="116" t="e">
        <f>'Aggregate Charts'!J18-'Aggregate Charts'!J17</f>
        <v>#VALUE!</v>
      </c>
      <c r="E16" s="83" t="str">
        <f>'Aggregate Charts'!A17</f>
        <v>2 in.</v>
      </c>
      <c r="F16" s="159">
        <f>'Aggregate Charts'!B17</f>
        <v>0</v>
      </c>
      <c r="G16" s="160">
        <f>'Aggregate Charts'!C17</f>
        <v>0</v>
      </c>
      <c r="H16" s="158">
        <f>'Aggregate Charts'!D17</f>
        <v>0</v>
      </c>
      <c r="I16" s="158">
        <f>'Aggregate Charts'!E17</f>
        <v>0</v>
      </c>
      <c r="J16" s="159">
        <f>'Aggregate Charts'!F17</f>
        <v>0</v>
      </c>
      <c r="K16" s="158">
        <f>'Aggregate Charts'!G17</f>
        <v>0</v>
      </c>
      <c r="L16" s="82" t="str">
        <f>'Aggregate Charts'!H17</f>
        <v/>
      </c>
      <c r="M16" s="81" t="str">
        <f>'Aggregate Charts'!I17</f>
        <v/>
      </c>
      <c r="N16" s="37" t="str">
        <f>'Aggregate Charts'!J17</f>
        <v/>
      </c>
      <c r="O16" s="830"/>
      <c r="P16" s="835"/>
      <c r="Q16" s="835"/>
      <c r="R16" s="837"/>
    </row>
    <row r="17" spans="1:18" x14ac:dyDescent="0.25">
      <c r="A17" s="23">
        <v>0</v>
      </c>
      <c r="B17" s="18">
        <v>0</v>
      </c>
      <c r="C17" s="113">
        <f t="shared" si="0"/>
        <v>1</v>
      </c>
      <c r="D17" s="116" t="e">
        <f>'Aggregate Charts'!J19-'Aggregate Charts'!J18</f>
        <v>#VALUE!</v>
      </c>
      <c r="E17" s="80" t="str">
        <f>'Aggregate Charts'!A18</f>
        <v>1 1/2 in.</v>
      </c>
      <c r="F17" s="156">
        <f>'Aggregate Charts'!B18</f>
        <v>0</v>
      </c>
      <c r="G17" s="157">
        <f>'Aggregate Charts'!C18</f>
        <v>0</v>
      </c>
      <c r="H17" s="155">
        <f>'Aggregate Charts'!D18</f>
        <v>0</v>
      </c>
      <c r="I17" s="155">
        <f>'Aggregate Charts'!E18</f>
        <v>0</v>
      </c>
      <c r="J17" s="156">
        <f>'Aggregate Charts'!F18</f>
        <v>0</v>
      </c>
      <c r="K17" s="155">
        <f>'Aggregate Charts'!G18</f>
        <v>0</v>
      </c>
      <c r="L17" s="75" t="str">
        <f>'Aggregate Charts'!H18</f>
        <v/>
      </c>
      <c r="M17" s="74" t="str">
        <f>'Aggregate Charts'!I18</f>
        <v/>
      </c>
      <c r="N17" s="28" t="str">
        <f>'Aggregate Charts'!J18</f>
        <v/>
      </c>
      <c r="O17" s="830"/>
      <c r="P17" s="835"/>
      <c r="Q17" s="835"/>
      <c r="R17" s="837"/>
    </row>
    <row r="18" spans="1:18" x14ac:dyDescent="0.25">
      <c r="A18" s="23">
        <v>0</v>
      </c>
      <c r="B18" s="18">
        <v>0</v>
      </c>
      <c r="C18" s="113">
        <f t="shared" si="0"/>
        <v>1</v>
      </c>
      <c r="D18" s="116" t="e">
        <f>'Aggregate Charts'!J20-'Aggregate Charts'!J19</f>
        <v>#VALUE!</v>
      </c>
      <c r="E18" s="76" t="str">
        <f>'Aggregate Charts'!A19</f>
        <v>1 in.</v>
      </c>
      <c r="F18" s="156">
        <f>'Aggregate Charts'!B19</f>
        <v>0</v>
      </c>
      <c r="G18" s="157">
        <f>'Aggregate Charts'!C19</f>
        <v>0</v>
      </c>
      <c r="H18" s="155">
        <f>'Aggregate Charts'!D19</f>
        <v>0</v>
      </c>
      <c r="I18" s="155">
        <f>'Aggregate Charts'!E19</f>
        <v>0</v>
      </c>
      <c r="J18" s="156">
        <f>'Aggregate Charts'!F19</f>
        <v>0</v>
      </c>
      <c r="K18" s="155">
        <f>'Aggregate Charts'!G19</f>
        <v>0</v>
      </c>
      <c r="L18" s="75" t="str">
        <f>'Aggregate Charts'!H19</f>
        <v/>
      </c>
      <c r="M18" s="74" t="str">
        <f>'Aggregate Charts'!I19</f>
        <v/>
      </c>
      <c r="N18" s="28" t="str">
        <f>'Aggregate Charts'!J19</f>
        <v/>
      </c>
      <c r="O18" s="830"/>
      <c r="P18" s="835"/>
      <c r="Q18" s="835"/>
      <c r="R18" s="837"/>
    </row>
    <row r="19" spans="1:18" x14ac:dyDescent="0.25">
      <c r="A19" s="23">
        <v>0</v>
      </c>
      <c r="B19" s="18">
        <v>0</v>
      </c>
      <c r="C19" s="113">
        <f t="shared" si="0"/>
        <v>1</v>
      </c>
      <c r="D19" s="116" t="e">
        <f>'Aggregate Charts'!J21-'Aggregate Charts'!J20</f>
        <v>#VALUE!</v>
      </c>
      <c r="E19" s="79" t="str">
        <f>'Aggregate Charts'!A20</f>
        <v>3/4 in.</v>
      </c>
      <c r="F19" s="156">
        <f>'Aggregate Charts'!B20</f>
        <v>0</v>
      </c>
      <c r="G19" s="157">
        <f>'Aggregate Charts'!C20</f>
        <v>0</v>
      </c>
      <c r="H19" s="155">
        <f>'Aggregate Charts'!D20</f>
        <v>0</v>
      </c>
      <c r="I19" s="155">
        <f>'Aggregate Charts'!E20</f>
        <v>0</v>
      </c>
      <c r="J19" s="156">
        <f>'Aggregate Charts'!F20</f>
        <v>0</v>
      </c>
      <c r="K19" s="155">
        <f>'Aggregate Charts'!G20</f>
        <v>0</v>
      </c>
      <c r="L19" s="75" t="str">
        <f>'Aggregate Charts'!H20</f>
        <v/>
      </c>
      <c r="M19" s="74" t="str">
        <f>'Aggregate Charts'!I20</f>
        <v/>
      </c>
      <c r="N19" s="28" t="str">
        <f>'Aggregate Charts'!J20</f>
        <v/>
      </c>
      <c r="O19" s="830"/>
      <c r="P19" s="835"/>
      <c r="Q19" s="835"/>
      <c r="R19" s="837"/>
    </row>
    <row r="20" spans="1:18" x14ac:dyDescent="0.25">
      <c r="A20" s="23">
        <v>5</v>
      </c>
      <c r="B20" s="18">
        <v>15</v>
      </c>
      <c r="C20" s="113">
        <f t="shared" si="0"/>
        <v>0.9</v>
      </c>
      <c r="D20" s="116" t="e">
        <f>'Aggregate Charts'!J22-'Aggregate Charts'!J21</f>
        <v>#VALUE!</v>
      </c>
      <c r="E20" s="78" t="str">
        <f>'Aggregate Charts'!A21</f>
        <v>1/2 in.</v>
      </c>
      <c r="F20" s="156">
        <f>'Aggregate Charts'!B21</f>
        <v>0</v>
      </c>
      <c r="G20" s="157">
        <f>'Aggregate Charts'!C21</f>
        <v>0</v>
      </c>
      <c r="H20" s="155">
        <f>'Aggregate Charts'!D21</f>
        <v>0</v>
      </c>
      <c r="I20" s="155">
        <f>'Aggregate Charts'!E21</f>
        <v>0</v>
      </c>
      <c r="J20" s="156">
        <f>'Aggregate Charts'!F21</f>
        <v>0</v>
      </c>
      <c r="K20" s="155">
        <f>'Aggregate Charts'!G21</f>
        <v>0</v>
      </c>
      <c r="L20" s="75" t="str">
        <f>'Aggregate Charts'!H21</f>
        <v/>
      </c>
      <c r="M20" s="74" t="str">
        <f>'Aggregate Charts'!I21</f>
        <v/>
      </c>
      <c r="N20" s="28" t="str">
        <f>'Aggregate Charts'!J21</f>
        <v/>
      </c>
      <c r="O20" s="830"/>
      <c r="P20" s="835"/>
      <c r="Q20" s="835"/>
      <c r="R20" s="837"/>
    </row>
    <row r="21" spans="1:18" ht="15" customHeight="1" x14ac:dyDescent="0.25">
      <c r="A21" s="23">
        <v>19</v>
      </c>
      <c r="B21" s="18">
        <v>29</v>
      </c>
      <c r="C21" s="113">
        <f t="shared" si="0"/>
        <v>0.76</v>
      </c>
      <c r="D21" s="116" t="e">
        <f>'Aggregate Charts'!J23-'Aggregate Charts'!J22</f>
        <v>#VALUE!</v>
      </c>
      <c r="E21" s="77" t="str">
        <f>'Aggregate Charts'!A22</f>
        <v>3/8 in.</v>
      </c>
      <c r="F21" s="156">
        <f>'Aggregate Charts'!B22</f>
        <v>0</v>
      </c>
      <c r="G21" s="157">
        <f>'Aggregate Charts'!C22</f>
        <v>0</v>
      </c>
      <c r="H21" s="155">
        <f>'Aggregate Charts'!D22</f>
        <v>0</v>
      </c>
      <c r="I21" s="155">
        <f>'Aggregate Charts'!E22</f>
        <v>0</v>
      </c>
      <c r="J21" s="156">
        <f>'Aggregate Charts'!F22</f>
        <v>0</v>
      </c>
      <c r="K21" s="155">
        <f>'Aggregate Charts'!G22</f>
        <v>0</v>
      </c>
      <c r="L21" s="75" t="str">
        <f>'Aggregate Charts'!H22</f>
        <v/>
      </c>
      <c r="M21" s="74" t="str">
        <f>'Aggregate Charts'!I22</f>
        <v/>
      </c>
      <c r="N21" s="28" t="str">
        <f>'Aggregate Charts'!J22</f>
        <v/>
      </c>
      <c r="O21" s="814" t="str">
        <f>'Aggregate Charts'!L21</f>
        <v>Project</v>
      </c>
      <c r="P21" s="838" t="str">
        <f>'Aggregate Charts'!M21</f>
        <v>Concrete Mix</v>
      </c>
      <c r="Q21" s="838" t="str">
        <f>'Aggregate Charts'!N21</f>
        <v>Prepared By</v>
      </c>
      <c r="R21" s="840" t="str">
        <f>'Aggregate Charts'!O21</f>
        <v>Date</v>
      </c>
    </row>
    <row r="22" spans="1:18" x14ac:dyDescent="0.25">
      <c r="A22" s="23">
        <v>36</v>
      </c>
      <c r="B22" s="18">
        <v>46</v>
      </c>
      <c r="C22" s="113">
        <f t="shared" si="0"/>
        <v>0.59000000000000008</v>
      </c>
      <c r="D22" s="116" t="e">
        <f>'Aggregate Charts'!J24-'Aggregate Charts'!J23</f>
        <v>#VALUE!</v>
      </c>
      <c r="E22" s="76" t="str">
        <f>'Aggregate Charts'!A23</f>
        <v>No. 4</v>
      </c>
      <c r="F22" s="156">
        <f>'Aggregate Charts'!B23</f>
        <v>0</v>
      </c>
      <c r="G22" s="157">
        <f>'Aggregate Charts'!C23</f>
        <v>0</v>
      </c>
      <c r="H22" s="155">
        <f>'Aggregate Charts'!D23</f>
        <v>0</v>
      </c>
      <c r="I22" s="155">
        <f>'Aggregate Charts'!E23</f>
        <v>0</v>
      </c>
      <c r="J22" s="156">
        <f>'Aggregate Charts'!F23</f>
        <v>0</v>
      </c>
      <c r="K22" s="155">
        <f>'Aggregate Charts'!G23</f>
        <v>0</v>
      </c>
      <c r="L22" s="75" t="str">
        <f>'Aggregate Charts'!H23</f>
        <v/>
      </c>
      <c r="M22" s="74" t="str">
        <f>'Aggregate Charts'!I23</f>
        <v/>
      </c>
      <c r="N22" s="28" t="str">
        <f>'Aggregate Charts'!J23</f>
        <v/>
      </c>
      <c r="O22" s="814"/>
      <c r="P22" s="838"/>
      <c r="Q22" s="838"/>
      <c r="R22" s="840"/>
    </row>
    <row r="23" spans="1:18" x14ac:dyDescent="0.25">
      <c r="A23" s="23">
        <v>53</v>
      </c>
      <c r="B23" s="18">
        <v>63</v>
      </c>
      <c r="C23" s="113">
        <f t="shared" si="0"/>
        <v>0.42000000000000004</v>
      </c>
      <c r="D23" s="116" t="e">
        <f>'Aggregate Charts'!J25-'Aggregate Charts'!J24</f>
        <v>#VALUE!</v>
      </c>
      <c r="E23" s="76" t="str">
        <f>'Aggregate Charts'!A24</f>
        <v>No. 8</v>
      </c>
      <c r="F23" s="156">
        <f>'Aggregate Charts'!B24</f>
        <v>0</v>
      </c>
      <c r="G23" s="157">
        <f>'Aggregate Charts'!C24</f>
        <v>0</v>
      </c>
      <c r="H23" s="155">
        <f>'Aggregate Charts'!D24</f>
        <v>0</v>
      </c>
      <c r="I23" s="155">
        <f>'Aggregate Charts'!E24</f>
        <v>0</v>
      </c>
      <c r="J23" s="156">
        <f>'Aggregate Charts'!F24</f>
        <v>0</v>
      </c>
      <c r="K23" s="155">
        <f>'Aggregate Charts'!G24</f>
        <v>0</v>
      </c>
      <c r="L23" s="75" t="str">
        <f>'Aggregate Charts'!H24</f>
        <v/>
      </c>
      <c r="M23" s="74" t="str">
        <f>'Aggregate Charts'!I24</f>
        <v/>
      </c>
      <c r="N23" s="28" t="str">
        <f>'Aggregate Charts'!J24</f>
        <v/>
      </c>
      <c r="O23" s="814"/>
      <c r="P23" s="838"/>
      <c r="Q23" s="838"/>
      <c r="R23" s="840"/>
    </row>
    <row r="24" spans="1:18" x14ac:dyDescent="0.25">
      <c r="A24" s="23">
        <v>67</v>
      </c>
      <c r="B24" s="18">
        <v>77</v>
      </c>
      <c r="C24" s="113">
        <f t="shared" si="0"/>
        <v>0.28000000000000003</v>
      </c>
      <c r="D24" s="116" t="e">
        <f>'Aggregate Charts'!J26-'Aggregate Charts'!J25</f>
        <v>#VALUE!</v>
      </c>
      <c r="E24" s="76" t="str">
        <f>'Aggregate Charts'!A25</f>
        <v>No. 16</v>
      </c>
      <c r="F24" s="156">
        <f>'Aggregate Charts'!B25</f>
        <v>0</v>
      </c>
      <c r="G24" s="157">
        <f>'Aggregate Charts'!C25</f>
        <v>0</v>
      </c>
      <c r="H24" s="155">
        <f>'Aggregate Charts'!D25</f>
        <v>0</v>
      </c>
      <c r="I24" s="155">
        <f>'Aggregate Charts'!E25</f>
        <v>0</v>
      </c>
      <c r="J24" s="156">
        <f>'Aggregate Charts'!F25</f>
        <v>0</v>
      </c>
      <c r="K24" s="155">
        <f>'Aggregate Charts'!G25</f>
        <v>0</v>
      </c>
      <c r="L24" s="75" t="str">
        <f>'Aggregate Charts'!H25</f>
        <v/>
      </c>
      <c r="M24" s="74" t="str">
        <f>'Aggregate Charts'!I25</f>
        <v/>
      </c>
      <c r="N24" s="28" t="str">
        <f>'Aggregate Charts'!J25</f>
        <v/>
      </c>
      <c r="O24" s="814"/>
      <c r="P24" s="838"/>
      <c r="Q24" s="838"/>
      <c r="R24" s="840"/>
    </row>
    <row r="25" spans="1:18" x14ac:dyDescent="0.25">
      <c r="A25" s="23">
        <v>80</v>
      </c>
      <c r="B25" s="18">
        <v>88</v>
      </c>
      <c r="C25" s="113">
        <f t="shared" si="0"/>
        <v>0.16000000000000003</v>
      </c>
      <c r="D25" s="116" t="e">
        <f>'Aggregate Charts'!J27-'Aggregate Charts'!J26</f>
        <v>#VALUE!</v>
      </c>
      <c r="E25" s="76" t="str">
        <f>'Aggregate Charts'!A26</f>
        <v>No. 30</v>
      </c>
      <c r="F25" s="156">
        <f>'Aggregate Charts'!B26</f>
        <v>0</v>
      </c>
      <c r="G25" s="157">
        <f>'Aggregate Charts'!C26</f>
        <v>0</v>
      </c>
      <c r="H25" s="155">
        <f>'Aggregate Charts'!D26</f>
        <v>0</v>
      </c>
      <c r="I25" s="155">
        <f>'Aggregate Charts'!E26</f>
        <v>0</v>
      </c>
      <c r="J25" s="156">
        <f>'Aggregate Charts'!F26</f>
        <v>0</v>
      </c>
      <c r="K25" s="155">
        <f>'Aggregate Charts'!G26</f>
        <v>0</v>
      </c>
      <c r="L25" s="75" t="str">
        <f>'Aggregate Charts'!H26</f>
        <v/>
      </c>
      <c r="M25" s="74" t="str">
        <f>'Aggregate Charts'!I26</f>
        <v/>
      </c>
      <c r="N25" s="28" t="str">
        <f>'Aggregate Charts'!J26</f>
        <v/>
      </c>
      <c r="O25" s="814"/>
      <c r="P25" s="838"/>
      <c r="Q25" s="838"/>
      <c r="R25" s="840"/>
    </row>
    <row r="26" spans="1:18" x14ac:dyDescent="0.25">
      <c r="A26" s="23">
        <v>89</v>
      </c>
      <c r="B26" s="18">
        <v>97</v>
      </c>
      <c r="C26" s="113">
        <f t="shared" si="0"/>
        <v>6.9999999999999951E-2</v>
      </c>
      <c r="D26" s="116" t="e">
        <f>'Aggregate Charts'!J28-'Aggregate Charts'!J27</f>
        <v>#VALUE!</v>
      </c>
      <c r="E26" s="76" t="str">
        <f>'Aggregate Charts'!A27</f>
        <v>No. 50</v>
      </c>
      <c r="F26" s="156">
        <f>'Aggregate Charts'!B27</f>
        <v>0</v>
      </c>
      <c r="G26" s="157">
        <f>'Aggregate Charts'!C27</f>
        <v>0</v>
      </c>
      <c r="H26" s="155">
        <f>'Aggregate Charts'!D27</f>
        <v>0</v>
      </c>
      <c r="I26" s="155">
        <f>'Aggregate Charts'!E27</f>
        <v>0</v>
      </c>
      <c r="J26" s="156">
        <f>'Aggregate Charts'!F27</f>
        <v>0</v>
      </c>
      <c r="K26" s="155">
        <f>'Aggregate Charts'!G27</f>
        <v>0</v>
      </c>
      <c r="L26" s="75" t="str">
        <f>'Aggregate Charts'!H27</f>
        <v/>
      </c>
      <c r="M26" s="74" t="str">
        <f>'Aggregate Charts'!I27</f>
        <v/>
      </c>
      <c r="N26" s="28" t="str">
        <f>'Aggregate Charts'!J27</f>
        <v/>
      </c>
      <c r="O26" s="815"/>
      <c r="P26" s="839"/>
      <c r="Q26" s="839"/>
      <c r="R26" s="841"/>
    </row>
    <row r="27" spans="1:18" x14ac:dyDescent="0.25">
      <c r="A27" s="23">
        <v>95</v>
      </c>
      <c r="B27" s="18">
        <v>100</v>
      </c>
      <c r="C27" s="113">
        <f t="shared" si="0"/>
        <v>2.5000000000000022E-2</v>
      </c>
      <c r="D27" s="116" t="e">
        <f>'Aggregate Charts'!J29-'Aggregate Charts'!J28</f>
        <v>#VALUE!</v>
      </c>
      <c r="E27" s="76" t="str">
        <f>'Aggregate Charts'!A28</f>
        <v>No. 100</v>
      </c>
      <c r="F27" s="156">
        <f>'Aggregate Charts'!B28</f>
        <v>0</v>
      </c>
      <c r="G27" s="157">
        <f>'Aggregate Charts'!C28</f>
        <v>0</v>
      </c>
      <c r="H27" s="155">
        <f>'Aggregate Charts'!D28</f>
        <v>0</v>
      </c>
      <c r="I27" s="155">
        <f>'Aggregate Charts'!E28</f>
        <v>0</v>
      </c>
      <c r="J27" s="156">
        <f>'Aggregate Charts'!F28</f>
        <v>0</v>
      </c>
      <c r="K27" s="155">
        <f>'Aggregate Charts'!G28</f>
        <v>0</v>
      </c>
      <c r="L27" s="75" t="str">
        <f>'Aggregate Charts'!H28</f>
        <v/>
      </c>
      <c r="M27" s="74" t="str">
        <f>'Aggregate Charts'!I28</f>
        <v/>
      </c>
      <c r="N27" s="28" t="str">
        <f>'Aggregate Charts'!J28</f>
        <v/>
      </c>
      <c r="O27" s="35"/>
      <c r="P27" s="35"/>
      <c r="Q27" s="35"/>
      <c r="R27" s="35"/>
    </row>
    <row r="28" spans="1:18" x14ac:dyDescent="0.25">
      <c r="A28" s="21">
        <v>98</v>
      </c>
      <c r="B28" s="20">
        <v>100</v>
      </c>
      <c r="C28" s="111">
        <f t="shared" si="0"/>
        <v>1.0000000000000009E-2</v>
      </c>
      <c r="D28" s="116" t="e">
        <f>'Aggregate Charts'!J30-'Aggregate Charts'!J29</f>
        <v>#VALUE!</v>
      </c>
      <c r="E28" s="76" t="str">
        <f>'Aggregate Charts'!A29</f>
        <v>No. 200</v>
      </c>
      <c r="F28" s="156">
        <f>'Aggregate Charts'!B29</f>
        <v>0</v>
      </c>
      <c r="G28" s="157">
        <f>'Aggregate Charts'!C29</f>
        <v>0</v>
      </c>
      <c r="H28" s="155">
        <f>'Aggregate Charts'!D29</f>
        <v>0</v>
      </c>
      <c r="I28" s="155">
        <f>'Aggregate Charts'!E29</f>
        <v>0</v>
      </c>
      <c r="J28" s="156">
        <f>'Aggregate Charts'!F29</f>
        <v>0</v>
      </c>
      <c r="K28" s="155">
        <f>'Aggregate Charts'!G29</f>
        <v>0</v>
      </c>
      <c r="L28" s="75" t="str">
        <f>'Aggregate Charts'!H29</f>
        <v/>
      </c>
      <c r="M28" s="74" t="str">
        <f>'Aggregate Charts'!I29</f>
        <v/>
      </c>
      <c r="N28" s="28" t="str">
        <f>'Aggregate Charts'!J29</f>
        <v/>
      </c>
      <c r="O28" s="35"/>
      <c r="P28" s="35"/>
      <c r="Q28" s="35"/>
      <c r="R28" s="35"/>
    </row>
    <row r="29" spans="1:18" x14ac:dyDescent="0.25">
      <c r="E29" s="73" t="str">
        <f>'Aggregate Charts'!A30</f>
        <v>Pan</v>
      </c>
      <c r="F29" s="153">
        <f>'Aggregate Charts'!B30</f>
        <v>0</v>
      </c>
      <c r="G29" s="154">
        <f>'Aggregate Charts'!C30</f>
        <v>0</v>
      </c>
      <c r="H29" s="152">
        <f>'Aggregate Charts'!D30</f>
        <v>0</v>
      </c>
      <c r="I29" s="152">
        <f>'Aggregate Charts'!E30</f>
        <v>0</v>
      </c>
      <c r="J29" s="153">
        <f>'Aggregate Charts'!F30</f>
        <v>0</v>
      </c>
      <c r="K29" s="152">
        <f>'Aggregate Charts'!G30</f>
        <v>0</v>
      </c>
      <c r="L29" s="69">
        <f>'Aggregate Charts'!H30</f>
        <v>0</v>
      </c>
      <c r="M29" s="68">
        <f>'Aggregate Charts'!I30</f>
        <v>1</v>
      </c>
      <c r="N29" s="24" t="str">
        <f>'Aggregate Charts'!J30</f>
        <v/>
      </c>
      <c r="O29" s="35"/>
      <c r="P29" s="35"/>
      <c r="Q29" s="35"/>
      <c r="R29" s="35"/>
    </row>
    <row r="30" spans="1:18" x14ac:dyDescent="0.25">
      <c r="E30" s="67" t="str">
        <f>'Aggregate Charts'!A31</f>
        <v>Blend %</v>
      </c>
      <c r="F30" s="150" t="str">
        <f>'Aggregate Charts'!B31</f>
        <v>0.0%</v>
      </c>
      <c r="G30" s="151" t="str">
        <f>'Aggregate Charts'!C31</f>
        <v>0.0%</v>
      </c>
      <c r="H30" s="149" t="str">
        <f>'Aggregate Charts'!D31</f>
        <v>0.0%</v>
      </c>
      <c r="I30" s="149" t="str">
        <f>'Aggregate Charts'!E31</f>
        <v>0.0%</v>
      </c>
      <c r="J30" s="150" t="str">
        <f>'Aggregate Charts'!F31</f>
        <v>0.0%</v>
      </c>
      <c r="K30" s="149" t="str">
        <f>'Aggregate Charts'!G31</f>
        <v>0.0%</v>
      </c>
      <c r="L30" s="66">
        <f>'Aggregate Charts'!H31</f>
        <v>0</v>
      </c>
      <c r="N30" s="22"/>
    </row>
    <row r="31" spans="1:18" x14ac:dyDescent="0.25">
      <c r="E31" s="23"/>
      <c r="G31" s="65"/>
      <c r="H31" s="48"/>
      <c r="I31" s="64" t="str">
        <f>'Aggregate Charts'!E32</f>
        <v>Coarseness Factor, CF =</v>
      </c>
      <c r="J31" s="63" t="e">
        <f>'Aggregate Charts'!F32</f>
        <v>#VALUE!</v>
      </c>
      <c r="K31" s="62" t="e">
        <f>'Aggregate Charts'!G32</f>
        <v>#VALUE!</v>
      </c>
      <c r="L31" s="48"/>
      <c r="M31" s="48"/>
      <c r="N31" s="47"/>
    </row>
    <row r="32" spans="1:18" x14ac:dyDescent="0.25">
      <c r="E32" s="23"/>
      <c r="G32" s="61"/>
      <c r="H32" s="57"/>
      <c r="I32" s="60" t="str">
        <f>'Aggregate Charts'!E33</f>
        <v>Workability Factor, WF =</v>
      </c>
      <c r="J32" s="59" t="e">
        <f>'Aggregate Charts'!F33</f>
        <v>#VALUE!</v>
      </c>
      <c r="K32" s="58" t="e">
        <f>'Aggregate Charts'!G33</f>
        <v>#VALUE!</v>
      </c>
      <c r="L32" s="57"/>
      <c r="M32" s="57"/>
      <c r="N32" s="56"/>
    </row>
    <row r="33" spans="5:49" ht="15.75" x14ac:dyDescent="0.25">
      <c r="E33" s="23"/>
      <c r="G33" s="55"/>
      <c r="H33" s="52"/>
      <c r="I33" s="52"/>
      <c r="J33" s="54" t="e">
        <f>'Aggregate Charts'!F34</f>
        <v>#N/A</v>
      </c>
      <c r="K33" s="53" t="e">
        <f>'Aggregate Charts'!G34</f>
        <v>#VALUE!</v>
      </c>
      <c r="L33" s="52"/>
      <c r="M33" s="52"/>
      <c r="N33" s="51"/>
      <c r="O33" s="148"/>
      <c r="P33" s="148"/>
      <c r="Q33" s="148"/>
      <c r="R33" s="148"/>
    </row>
    <row r="34" spans="5:49" x14ac:dyDescent="0.25">
      <c r="E34" s="23"/>
      <c r="N34" s="22"/>
    </row>
    <row r="35" spans="5:49" x14ac:dyDescent="0.25">
      <c r="E35" s="23"/>
      <c r="J35" s="49" t="str">
        <f>'Aggregate Charts'!F36</f>
        <v>0.45 Power Chart</v>
      </c>
      <c r="K35" s="48"/>
      <c r="L35" s="48"/>
      <c r="M35" s="47"/>
      <c r="N35" s="22"/>
    </row>
    <row r="36" spans="5:49" x14ac:dyDescent="0.25">
      <c r="E36" s="23"/>
      <c r="J36" s="21"/>
      <c r="K36" s="20"/>
      <c r="L36" s="46" t="str">
        <f>'Aggregate Charts'!F37</f>
        <v xml:space="preserve">Nominal Maximum Sieve Size = </v>
      </c>
      <c r="M36" s="45" t="str">
        <f>'Aggregate Charts'!I37</f>
        <v>Pan</v>
      </c>
      <c r="N36" s="22"/>
    </row>
    <row r="37" spans="5:49" ht="30" x14ac:dyDescent="0.25">
      <c r="E37" s="23"/>
      <c r="J37" s="147" t="str">
        <f>'Aggregate Charts'!F38</f>
        <v>Sieve</v>
      </c>
      <c r="K37" s="44" t="str">
        <f>'Aggregate Charts'!G38</f>
        <v>% Passing</v>
      </c>
      <c r="L37" s="43" t="str">
        <f>'Aggregate Charts'!H38</f>
        <v>Power Chart 3</v>
      </c>
      <c r="M37" s="147" t="str">
        <f>'Aggregate Charts'!I38</f>
        <v>Deviation 2</v>
      </c>
      <c r="N37" s="22"/>
      <c r="U37" s="41"/>
      <c r="V37" s="41"/>
    </row>
    <row r="38" spans="5:49" x14ac:dyDescent="0.25">
      <c r="E38" s="23"/>
      <c r="J38" s="40" t="str">
        <f>'Aggregate Charts'!F39</f>
        <v>2 in.</v>
      </c>
      <c r="K38" s="39" t="str">
        <f>'Aggregate Charts'!G39</f>
        <v/>
      </c>
      <c r="L38" s="37" t="str">
        <f>'Aggregate Charts'!H39</f>
        <v/>
      </c>
      <c r="M38" s="37" t="str">
        <f>'Aggregate Charts'!I39</f>
        <v/>
      </c>
      <c r="N38" s="22"/>
      <c r="T38" s="34"/>
      <c r="U38" s="128"/>
      <c r="V38" s="128"/>
      <c r="AE38" s="65"/>
      <c r="AF38" s="146" t="s">
        <v>180</v>
      </c>
      <c r="AG38" s="145" t="str">
        <f>VLOOKUP(MAX(AE43:AE56),AD43:AH56,4)</f>
        <v>Pan</v>
      </c>
      <c r="AO38" s="65" t="s">
        <v>179</v>
      </c>
      <c r="AP38" s="47" t="e">
        <f>1/AG39</f>
        <v>#DIV/0!</v>
      </c>
      <c r="AR38" s="65"/>
      <c r="AS38" s="48"/>
      <c r="AT38" s="48"/>
      <c r="AU38" s="48"/>
      <c r="AV38" s="65" t="s">
        <v>179</v>
      </c>
      <c r="AW38" s="47" t="e">
        <f>SLOPE(AT43:AT56,AR43:AR56)</f>
        <v>#DIV/0!</v>
      </c>
    </row>
    <row r="39" spans="5:49" x14ac:dyDescent="0.25">
      <c r="E39" s="23"/>
      <c r="J39" s="36" t="str">
        <f>'Aggregate Charts'!F40</f>
        <v>1 1/2 in.</v>
      </c>
      <c r="K39" s="29" t="str">
        <f>'Aggregate Charts'!G40</f>
        <v/>
      </c>
      <c r="L39" s="28" t="str">
        <f>'Aggregate Charts'!H40</f>
        <v/>
      </c>
      <c r="M39" s="28" t="str">
        <f>'Aggregate Charts'!I40</f>
        <v/>
      </c>
      <c r="N39" s="22"/>
      <c r="T39" s="34"/>
      <c r="U39" s="128"/>
      <c r="V39" s="128"/>
      <c r="AE39" s="21"/>
      <c r="AF39" s="144" t="s">
        <v>164</v>
      </c>
      <c r="AG39" s="143">
        <f>VLOOKUP(MAX(AE43:AE56),AD43:AH56,5)</f>
        <v>0</v>
      </c>
      <c r="AO39" s="23" t="s">
        <v>178</v>
      </c>
      <c r="AP39" s="22">
        <v>0</v>
      </c>
      <c r="AR39" s="23"/>
      <c r="AV39" s="23" t="s">
        <v>178</v>
      </c>
      <c r="AW39" s="22" t="e">
        <f>INTERCEPT(AT43:AT56,AR43:AR56)</f>
        <v>#DIV/0!</v>
      </c>
    </row>
    <row r="40" spans="5:49" x14ac:dyDescent="0.25">
      <c r="E40" s="23"/>
      <c r="J40" s="30" t="str">
        <f>'Aggregate Charts'!F41</f>
        <v>1 in.</v>
      </c>
      <c r="K40" s="29" t="str">
        <f>'Aggregate Charts'!G41</f>
        <v/>
      </c>
      <c r="L40" s="28" t="str">
        <f>'Aggregate Charts'!H41</f>
        <v/>
      </c>
      <c r="M40" s="28" t="str">
        <f>'Aggregate Charts'!I41</f>
        <v/>
      </c>
      <c r="N40" s="22"/>
      <c r="T40" s="34"/>
      <c r="AF40" s="18" t="str">
        <f>"Nominal Maximum Size = "&amp;AG38</f>
        <v>Nominal Maximum Size = Pan</v>
      </c>
      <c r="AO40" s="21" t="s">
        <v>176</v>
      </c>
      <c r="AP40" s="121">
        <v>7.0000000000000007E-2</v>
      </c>
      <c r="AR40" s="142" t="s">
        <v>177</v>
      </c>
      <c r="AV40" s="21" t="s">
        <v>176</v>
      </c>
      <c r="AW40" s="111">
        <v>7.0000000000000007E-2</v>
      </c>
    </row>
    <row r="41" spans="5:49" x14ac:dyDescent="0.25">
      <c r="E41" s="23"/>
      <c r="J41" s="33" t="str">
        <f>'Aggregate Charts'!F42</f>
        <v>3/4 in.</v>
      </c>
      <c r="K41" s="29" t="str">
        <f>'Aggregate Charts'!G42</f>
        <v/>
      </c>
      <c r="L41" s="28" t="str">
        <f>'Aggregate Charts'!H42</f>
        <v/>
      </c>
      <c r="M41" s="28" t="str">
        <f>'Aggregate Charts'!I42</f>
        <v/>
      </c>
      <c r="N41" s="22"/>
      <c r="AD41" s="99" t="s">
        <v>175</v>
      </c>
      <c r="AE41" s="50"/>
      <c r="AF41" s="50"/>
      <c r="AG41" s="50"/>
      <c r="AH41" s="97"/>
      <c r="AK41" s="141">
        <v>1</v>
      </c>
      <c r="AR41" s="23"/>
      <c r="AW41" s="22"/>
    </row>
    <row r="42" spans="5:49" x14ac:dyDescent="0.25">
      <c r="E42" s="23"/>
      <c r="J42" s="32" t="str">
        <f>'Aggregate Charts'!F43</f>
        <v>1/2 in.</v>
      </c>
      <c r="K42" s="29" t="str">
        <f>'Aggregate Charts'!G43</f>
        <v/>
      </c>
      <c r="L42" s="28" t="str">
        <f>'Aggregate Charts'!H43</f>
        <v/>
      </c>
      <c r="M42" s="28" t="str">
        <f>'Aggregate Charts'!I43</f>
        <v/>
      </c>
      <c r="N42" s="22"/>
      <c r="AD42" s="21" t="s">
        <v>174</v>
      </c>
      <c r="AE42" s="20" t="s">
        <v>173</v>
      </c>
      <c r="AF42" s="119" t="str">
        <f>AM42</f>
        <v>% Passing</v>
      </c>
      <c r="AG42" s="119" t="str">
        <f>AL42</f>
        <v>Mesh</v>
      </c>
      <c r="AH42" s="140" t="s">
        <v>164</v>
      </c>
      <c r="AK42" s="65"/>
      <c r="AL42" s="48" t="str">
        <f>AD59</f>
        <v>Mesh</v>
      </c>
      <c r="AM42" s="139" t="str">
        <f>'Aggregate Charts'!H16</f>
        <v>% Passing</v>
      </c>
      <c r="AN42" s="48" t="s">
        <v>172</v>
      </c>
      <c r="AO42" s="48" t="s">
        <v>155</v>
      </c>
      <c r="AP42" s="47" t="s">
        <v>154</v>
      </c>
      <c r="AQ42" s="18" t="s">
        <v>82</v>
      </c>
      <c r="AR42" s="23">
        <f>ROUND((AG39-$AH$74)*$AK$41,0)</f>
        <v>0</v>
      </c>
      <c r="AS42" s="48" t="str">
        <f>AD59</f>
        <v>Mesh</v>
      </c>
      <c r="AT42" s="139" t="str">
        <f>'Aggregate Charts'!H16</f>
        <v>% Passing</v>
      </c>
      <c r="AU42" s="48" t="s">
        <v>171</v>
      </c>
      <c r="AV42" s="48" t="s">
        <v>155</v>
      </c>
      <c r="AW42" s="47" t="s">
        <v>154</v>
      </c>
    </row>
    <row r="43" spans="5:49" x14ac:dyDescent="0.25">
      <c r="E43" s="23"/>
      <c r="J43" s="31" t="str">
        <f>'Aggregate Charts'!F44</f>
        <v>3/8 in.</v>
      </c>
      <c r="K43" s="29" t="str">
        <f>'Aggregate Charts'!G44</f>
        <v/>
      </c>
      <c r="L43" s="28" t="str">
        <f>'Aggregate Charts'!H44</f>
        <v/>
      </c>
      <c r="M43" s="28" t="str">
        <f>'Aggregate Charts'!I44</f>
        <v/>
      </c>
      <c r="N43" s="22"/>
      <c r="AD43" s="65">
        <v>1</v>
      </c>
      <c r="AE43" s="48">
        <v>1</v>
      </c>
      <c r="AF43" s="138">
        <f>AM56</f>
        <v>0</v>
      </c>
      <c r="AG43" s="138" t="str">
        <f>AL56</f>
        <v>Pan</v>
      </c>
      <c r="AH43" s="137">
        <f>AH74</f>
        <v>0</v>
      </c>
      <c r="AK43" s="23">
        <f t="shared" ref="AK43:AK56" si="1">ROUND((AH61-$AH$74)*$AK$41,0)</f>
        <v>131</v>
      </c>
      <c r="AL43" s="18" t="str">
        <f t="shared" ref="AL43:AL56" si="2">AD61</f>
        <v>2 in.</v>
      </c>
      <c r="AM43" s="35" t="str">
        <f>IF('Aggregate Charts'!H18=1,NA(),'Aggregate Charts'!H17)</f>
        <v/>
      </c>
      <c r="AN43" s="35" t="e">
        <f t="shared" ref="AN43:AN55" si="3">IF(AL43=$AG$38,1,NA())</f>
        <v>#N/A</v>
      </c>
      <c r="AO43" s="35" t="e">
        <f>AP38*AK43-AP40</f>
        <v>#DIV/0!</v>
      </c>
      <c r="AP43" s="133" t="e">
        <f>AP38*AK43+AP40</f>
        <v>#DIV/0!</v>
      </c>
      <c r="AR43" s="23" t="str">
        <f t="shared" ref="AR43:AR56" si="4">IF(AK43&gt;$AR$42,"",AK43)</f>
        <v/>
      </c>
      <c r="AT43" s="35" t="str">
        <f t="shared" ref="AT43:AT56" si="5">IF(AK43&gt;$AR$42,"",AM43)</f>
        <v/>
      </c>
      <c r="AU43" s="35" t="e">
        <f>AK43*$AW$38+$AW$39</f>
        <v>#DIV/0!</v>
      </c>
      <c r="AV43" s="35" t="e">
        <f>AU43-$AW$40</f>
        <v>#DIV/0!</v>
      </c>
      <c r="AW43" s="133" t="str">
        <f t="shared" ref="AW43:AW56" si="6">IF(ISNUMBER(AU43),AU43+$AW$40,"")</f>
        <v/>
      </c>
    </row>
    <row r="44" spans="5:49" x14ac:dyDescent="0.25">
      <c r="E44" s="23"/>
      <c r="J44" s="30" t="str">
        <f>'Aggregate Charts'!F45</f>
        <v>No. 4</v>
      </c>
      <c r="K44" s="29" t="str">
        <f>'Aggregate Charts'!G45</f>
        <v/>
      </c>
      <c r="L44" s="28" t="str">
        <f>'Aggregate Charts'!H45</f>
        <v/>
      </c>
      <c r="M44" s="28" t="str">
        <f>'Aggregate Charts'!I45</f>
        <v/>
      </c>
      <c r="N44" s="22"/>
      <c r="AD44" s="23">
        <v>2</v>
      </c>
      <c r="AE44" s="18">
        <f t="shared" ref="AE44:AE56" si="7">IF(ISNUMBER(AF44),IF(AF43&lt;=0.9,AE43+1,0),0)</f>
        <v>0</v>
      </c>
      <c r="AF44" s="116" t="str">
        <f>AM55</f>
        <v/>
      </c>
      <c r="AG44" s="116" t="str">
        <f>AL55</f>
        <v>No. 200</v>
      </c>
      <c r="AH44" s="136">
        <f>AH73</f>
        <v>6.9367217454368229</v>
      </c>
      <c r="AK44" s="23">
        <f t="shared" si="1"/>
        <v>115</v>
      </c>
      <c r="AL44" s="18" t="str">
        <f t="shared" si="2"/>
        <v>1 1/2 in.</v>
      </c>
      <c r="AM44" s="35" t="str">
        <f>IF('Aggregate Charts'!H19=1,NA(),'Aggregate Charts'!H18)</f>
        <v/>
      </c>
      <c r="AN44" s="35" t="e">
        <f t="shared" si="3"/>
        <v>#N/A</v>
      </c>
      <c r="AO44" s="35" t="e">
        <f t="shared" ref="AO44:AO56" si="8">IF(ISNA(AN44),NA(),AN44-$AP$40)</f>
        <v>#N/A</v>
      </c>
      <c r="AP44" s="133" t="e">
        <f t="shared" ref="AP44:AP56" si="9">IF(ISNA(AN44),NA(),AN44+$AP$40)</f>
        <v>#N/A</v>
      </c>
      <c r="AR44" s="23" t="str">
        <f t="shared" si="4"/>
        <v/>
      </c>
      <c r="AT44" s="35" t="str">
        <f t="shared" si="5"/>
        <v/>
      </c>
      <c r="AU44" s="35" t="e">
        <f>AK44*$AW$38+$AW$39</f>
        <v>#DIV/0!</v>
      </c>
      <c r="AV44" s="35" t="e">
        <f>AU44-$AW$40</f>
        <v>#DIV/0!</v>
      </c>
      <c r="AW44" s="133" t="str">
        <f t="shared" si="6"/>
        <v/>
      </c>
    </row>
    <row r="45" spans="5:49" x14ac:dyDescent="0.25">
      <c r="E45" s="23"/>
      <c r="J45" s="30" t="str">
        <f>'Aggregate Charts'!F46</f>
        <v>No. 8</v>
      </c>
      <c r="K45" s="29" t="str">
        <f>'Aggregate Charts'!G46</f>
        <v/>
      </c>
      <c r="L45" s="28" t="str">
        <f>'Aggregate Charts'!H46</f>
        <v/>
      </c>
      <c r="M45" s="28" t="str">
        <f>'Aggregate Charts'!I46</f>
        <v/>
      </c>
      <c r="N45" s="22"/>
      <c r="AD45" s="23">
        <v>3</v>
      </c>
      <c r="AE45" s="18">
        <f t="shared" si="7"/>
        <v>0</v>
      </c>
      <c r="AF45" s="116" t="str">
        <f>AM54</f>
        <v/>
      </c>
      <c r="AG45" s="116" t="str">
        <f>AL54</f>
        <v>No. 100</v>
      </c>
      <c r="AH45" s="136">
        <f>AH72</f>
        <v>9.5045994842303667</v>
      </c>
      <c r="AK45" s="23">
        <f t="shared" si="1"/>
        <v>96</v>
      </c>
      <c r="AL45" s="18" t="str">
        <f t="shared" si="2"/>
        <v>1 in.</v>
      </c>
      <c r="AM45" s="35" t="str">
        <f>IF('Aggregate Charts'!H20=1,NA(),'Aggregate Charts'!H19)</f>
        <v/>
      </c>
      <c r="AN45" s="35" t="e">
        <f t="shared" si="3"/>
        <v>#N/A</v>
      </c>
      <c r="AO45" s="35" t="e">
        <f t="shared" si="8"/>
        <v>#N/A</v>
      </c>
      <c r="AP45" s="133" t="e">
        <f t="shared" si="9"/>
        <v>#N/A</v>
      </c>
      <c r="AR45" s="23" t="str">
        <f t="shared" si="4"/>
        <v/>
      </c>
      <c r="AT45" s="35" t="str">
        <f t="shared" si="5"/>
        <v/>
      </c>
      <c r="AU45" s="35" t="e">
        <f>AK45*$AW$38+$AW$39</f>
        <v>#DIV/0!</v>
      </c>
      <c r="AV45" s="35" t="e">
        <f>AU45-$AW$40</f>
        <v>#DIV/0!</v>
      </c>
      <c r="AW45" s="133" t="str">
        <f t="shared" si="6"/>
        <v/>
      </c>
    </row>
    <row r="46" spans="5:49" x14ac:dyDescent="0.25">
      <c r="E46" s="23"/>
      <c r="J46" s="30" t="str">
        <f>'Aggregate Charts'!F47</f>
        <v>No. 16</v>
      </c>
      <c r="K46" s="29" t="str">
        <f>'Aggregate Charts'!G47</f>
        <v/>
      </c>
      <c r="L46" s="28" t="str">
        <f>'Aggregate Charts'!H47</f>
        <v/>
      </c>
      <c r="M46" s="28" t="str">
        <f>'Aggregate Charts'!I47</f>
        <v/>
      </c>
      <c r="N46" s="22"/>
      <c r="AD46" s="23">
        <v>4</v>
      </c>
      <c r="AE46" s="18">
        <f t="shared" si="7"/>
        <v>0</v>
      </c>
      <c r="AF46" s="116" t="str">
        <f>AM53</f>
        <v/>
      </c>
      <c r="AG46" s="116" t="str">
        <f>AL53</f>
        <v>No. 50</v>
      </c>
      <c r="AH46" s="136">
        <f>AH71</f>
        <v>12.964041189051768</v>
      </c>
      <c r="AK46" s="23">
        <f t="shared" si="1"/>
        <v>84</v>
      </c>
      <c r="AL46" s="18" t="str">
        <f t="shared" si="2"/>
        <v>3/4 in.</v>
      </c>
      <c r="AM46" s="35" t="str">
        <f>IF('Aggregate Charts'!H21=1,NA(),'Aggregate Charts'!H20)</f>
        <v/>
      </c>
      <c r="AN46" s="35" t="e">
        <f t="shared" si="3"/>
        <v>#N/A</v>
      </c>
      <c r="AO46" s="35" t="e">
        <f t="shared" si="8"/>
        <v>#N/A</v>
      </c>
      <c r="AP46" s="133" t="e">
        <f t="shared" si="9"/>
        <v>#N/A</v>
      </c>
      <c r="AR46" s="23" t="str">
        <f t="shared" si="4"/>
        <v/>
      </c>
      <c r="AT46" s="35" t="str">
        <f t="shared" si="5"/>
        <v/>
      </c>
      <c r="AU46" s="35" t="e">
        <f>AK46*$AW$38+$AW$39</f>
        <v>#DIV/0!</v>
      </c>
      <c r="AV46" s="35" t="e">
        <f>AU46-$AW$40</f>
        <v>#DIV/0!</v>
      </c>
      <c r="AW46" s="133" t="str">
        <f t="shared" si="6"/>
        <v/>
      </c>
    </row>
    <row r="47" spans="5:49" x14ac:dyDescent="0.25">
      <c r="E47" s="23"/>
      <c r="J47" s="30" t="str">
        <f>'Aggregate Charts'!F48</f>
        <v>No. 30</v>
      </c>
      <c r="K47" s="29" t="str">
        <f>'Aggregate Charts'!G48</f>
        <v/>
      </c>
      <c r="L47" s="28" t="str">
        <f>'Aggregate Charts'!H48</f>
        <v/>
      </c>
      <c r="M47" s="28" t="str">
        <f>'Aggregate Charts'!I48</f>
        <v/>
      </c>
      <c r="N47" s="22"/>
      <c r="AD47" s="23">
        <v>5</v>
      </c>
      <c r="AE47" s="18">
        <f t="shared" si="7"/>
        <v>0</v>
      </c>
      <c r="AF47" s="116" t="str">
        <f>AM52</f>
        <v/>
      </c>
      <c r="AG47" s="116" t="str">
        <f>AL52</f>
        <v>No. 30</v>
      </c>
      <c r="AH47" s="136">
        <f>AH70</f>
        <v>17.722812162406921</v>
      </c>
      <c r="AK47" s="23">
        <f t="shared" si="1"/>
        <v>70</v>
      </c>
      <c r="AL47" s="18" t="str">
        <f t="shared" si="2"/>
        <v>1/2 in.</v>
      </c>
      <c r="AM47" s="35" t="str">
        <f>IF('Aggregate Charts'!H22=1,NA(),'Aggregate Charts'!H21)</f>
        <v/>
      </c>
      <c r="AN47" s="35" t="e">
        <f t="shared" si="3"/>
        <v>#N/A</v>
      </c>
      <c r="AO47" s="35" t="e">
        <f t="shared" si="8"/>
        <v>#N/A</v>
      </c>
      <c r="AP47" s="133" t="e">
        <f t="shared" si="9"/>
        <v>#N/A</v>
      </c>
      <c r="AR47" s="23" t="str">
        <f t="shared" si="4"/>
        <v/>
      </c>
      <c r="AT47" s="35" t="str">
        <f t="shared" si="5"/>
        <v/>
      </c>
      <c r="AU47" s="35" t="e">
        <f t="shared" ref="AU47:AU56" si="10">AR47*$AW$38+$AW$39</f>
        <v>#VALUE!</v>
      </c>
      <c r="AV47" s="35" t="str">
        <f t="shared" ref="AV47:AV56" si="11">IF(ISNUMBER(AU47),AU47-$AW$40,"")</f>
        <v/>
      </c>
      <c r="AW47" s="133" t="str">
        <f t="shared" si="6"/>
        <v/>
      </c>
    </row>
    <row r="48" spans="5:49" x14ac:dyDescent="0.25">
      <c r="E48" s="23"/>
      <c r="J48" s="30" t="str">
        <f>'Aggregate Charts'!F49</f>
        <v>No. 50</v>
      </c>
      <c r="K48" s="29" t="str">
        <f>'Aggregate Charts'!G49</f>
        <v/>
      </c>
      <c r="L48" s="28" t="str">
        <f>'Aggregate Charts'!H49</f>
        <v/>
      </c>
      <c r="M48" s="28" t="str">
        <f>'Aggregate Charts'!I49</f>
        <v/>
      </c>
      <c r="N48" s="22"/>
      <c r="AD48" s="23">
        <v>6</v>
      </c>
      <c r="AE48" s="18">
        <f t="shared" si="7"/>
        <v>0</v>
      </c>
      <c r="AF48" s="116" t="str">
        <f>AM51</f>
        <v/>
      </c>
      <c r="AG48" s="116" t="str">
        <f>AL51</f>
        <v>No. 16</v>
      </c>
      <c r="AH48" s="136">
        <f>AH69</f>
        <v>24.210074876744265</v>
      </c>
      <c r="AK48" s="23">
        <f t="shared" si="1"/>
        <v>62</v>
      </c>
      <c r="AL48" s="18" t="str">
        <f t="shared" si="2"/>
        <v>3/8 in.</v>
      </c>
      <c r="AM48" s="35" t="str">
        <f>IF('Aggregate Charts'!H23=1,NA(),'Aggregate Charts'!H22)</f>
        <v/>
      </c>
      <c r="AN48" s="35" t="e">
        <f t="shared" si="3"/>
        <v>#N/A</v>
      </c>
      <c r="AO48" s="35" t="e">
        <f t="shared" si="8"/>
        <v>#N/A</v>
      </c>
      <c r="AP48" s="133" t="e">
        <f t="shared" si="9"/>
        <v>#N/A</v>
      </c>
      <c r="AR48" s="23" t="str">
        <f t="shared" si="4"/>
        <v/>
      </c>
      <c r="AT48" s="35" t="str">
        <f t="shared" si="5"/>
        <v/>
      </c>
      <c r="AU48" s="35" t="e">
        <f t="shared" si="10"/>
        <v>#VALUE!</v>
      </c>
      <c r="AV48" s="35" t="str">
        <f t="shared" si="11"/>
        <v/>
      </c>
      <c r="AW48" s="133" t="str">
        <f t="shared" si="6"/>
        <v/>
      </c>
    </row>
    <row r="49" spans="5:49" x14ac:dyDescent="0.25">
      <c r="E49" s="23"/>
      <c r="J49" s="30" t="str">
        <f>'Aggregate Charts'!F50</f>
        <v>No. 100</v>
      </c>
      <c r="K49" s="29" t="str">
        <f>'Aggregate Charts'!G50</f>
        <v/>
      </c>
      <c r="L49" s="28" t="str">
        <f>'Aggregate Charts'!H50</f>
        <v/>
      </c>
      <c r="M49" s="28" t="str">
        <f>'Aggregate Charts'!I50</f>
        <v/>
      </c>
      <c r="N49" s="22"/>
      <c r="AD49" s="23">
        <v>7</v>
      </c>
      <c r="AE49" s="18">
        <f t="shared" si="7"/>
        <v>0</v>
      </c>
      <c r="AF49" s="116" t="str">
        <f>AM50</f>
        <v/>
      </c>
      <c r="AG49" s="116" t="str">
        <f>AL50</f>
        <v>No. 8</v>
      </c>
      <c r="AH49" s="136">
        <f>AH68</f>
        <v>33.071936900670877</v>
      </c>
      <c r="AK49" s="23">
        <f t="shared" si="1"/>
        <v>45</v>
      </c>
      <c r="AL49" s="18" t="str">
        <f t="shared" si="2"/>
        <v>No. 4</v>
      </c>
      <c r="AM49" s="35" t="str">
        <f>IF('Aggregate Charts'!H24=1,NA(),'Aggregate Charts'!H23)</f>
        <v/>
      </c>
      <c r="AN49" s="35" t="e">
        <f t="shared" si="3"/>
        <v>#N/A</v>
      </c>
      <c r="AO49" s="35" t="e">
        <f t="shared" si="8"/>
        <v>#N/A</v>
      </c>
      <c r="AP49" s="133" t="e">
        <f t="shared" si="9"/>
        <v>#N/A</v>
      </c>
      <c r="AR49" s="23" t="str">
        <f t="shared" si="4"/>
        <v/>
      </c>
      <c r="AT49" s="35" t="str">
        <f t="shared" si="5"/>
        <v/>
      </c>
      <c r="AU49" s="35" t="e">
        <f t="shared" si="10"/>
        <v>#VALUE!</v>
      </c>
      <c r="AV49" s="35" t="str">
        <f t="shared" si="11"/>
        <v/>
      </c>
      <c r="AW49" s="133" t="str">
        <f t="shared" si="6"/>
        <v/>
      </c>
    </row>
    <row r="50" spans="5:49" x14ac:dyDescent="0.25">
      <c r="E50" s="23"/>
      <c r="J50" s="30" t="str">
        <f>'Aggregate Charts'!F51</f>
        <v>No. 200</v>
      </c>
      <c r="K50" s="29" t="str">
        <f>'Aggregate Charts'!G51</f>
        <v/>
      </c>
      <c r="L50" s="28" t="str">
        <f>'Aggregate Charts'!H51</f>
        <v/>
      </c>
      <c r="M50" s="28" t="str">
        <f>'Aggregate Charts'!I51</f>
        <v/>
      </c>
      <c r="N50" s="22"/>
      <c r="AD50" s="23">
        <v>8</v>
      </c>
      <c r="AE50" s="18">
        <f t="shared" si="7"/>
        <v>0</v>
      </c>
      <c r="AF50" s="116" t="str">
        <f>AM49</f>
        <v/>
      </c>
      <c r="AG50" s="116" t="str">
        <f>AL49</f>
        <v>No. 4</v>
      </c>
      <c r="AH50" s="136">
        <f>AH67</f>
        <v>45.177597175157636</v>
      </c>
      <c r="AK50" s="23">
        <f t="shared" si="1"/>
        <v>33</v>
      </c>
      <c r="AL50" s="18" t="str">
        <f t="shared" si="2"/>
        <v>No. 8</v>
      </c>
      <c r="AM50" s="35" t="str">
        <f>IF('Aggregate Charts'!H25=1,NA(),'Aggregate Charts'!H24)</f>
        <v/>
      </c>
      <c r="AN50" s="35" t="e">
        <f t="shared" si="3"/>
        <v>#N/A</v>
      </c>
      <c r="AO50" s="35" t="e">
        <f t="shared" si="8"/>
        <v>#N/A</v>
      </c>
      <c r="AP50" s="133" t="e">
        <f t="shared" si="9"/>
        <v>#N/A</v>
      </c>
      <c r="AR50" s="23" t="str">
        <f t="shared" si="4"/>
        <v/>
      </c>
      <c r="AT50" s="35" t="str">
        <f t="shared" si="5"/>
        <v/>
      </c>
      <c r="AU50" s="35" t="e">
        <f t="shared" si="10"/>
        <v>#VALUE!</v>
      </c>
      <c r="AV50" s="35" t="str">
        <f t="shared" si="11"/>
        <v/>
      </c>
      <c r="AW50" s="133" t="str">
        <f t="shared" si="6"/>
        <v/>
      </c>
    </row>
    <row r="51" spans="5:49" x14ac:dyDescent="0.25">
      <c r="E51" s="23"/>
      <c r="F51" s="18">
        <f>'Aggregate Charts'!B52</f>
        <v>0</v>
      </c>
      <c r="J51" s="27" t="str">
        <f>'Aggregate Charts'!F52</f>
        <v>Pan</v>
      </c>
      <c r="K51" s="26">
        <f>'Aggregate Charts'!G52</f>
        <v>0</v>
      </c>
      <c r="L51" s="24" t="str">
        <f>'Aggregate Charts'!H52</f>
        <v/>
      </c>
      <c r="M51" s="24" t="str">
        <f>'Aggregate Charts'!I52</f>
        <v/>
      </c>
      <c r="N51" s="22"/>
      <c r="AD51" s="23">
        <v>9</v>
      </c>
      <c r="AE51" s="18">
        <f t="shared" si="7"/>
        <v>0</v>
      </c>
      <c r="AF51" s="116" t="str">
        <f>AM48</f>
        <v/>
      </c>
      <c r="AG51" s="116" t="str">
        <f>AL48</f>
        <v>3/8 in.</v>
      </c>
      <c r="AH51" s="136">
        <f>AH66</f>
        <v>61.685236282952467</v>
      </c>
      <c r="AK51" s="23">
        <f t="shared" si="1"/>
        <v>24</v>
      </c>
      <c r="AL51" s="18" t="str">
        <f t="shared" si="2"/>
        <v>No. 16</v>
      </c>
      <c r="AM51" s="35" t="str">
        <f>IF('Aggregate Charts'!H26=1,NA(),'Aggregate Charts'!H25)</f>
        <v/>
      </c>
      <c r="AN51" s="35" t="e">
        <f t="shared" si="3"/>
        <v>#N/A</v>
      </c>
      <c r="AO51" s="35" t="e">
        <f t="shared" si="8"/>
        <v>#N/A</v>
      </c>
      <c r="AP51" s="133" t="e">
        <f t="shared" si="9"/>
        <v>#N/A</v>
      </c>
      <c r="AR51" s="23" t="str">
        <f t="shared" si="4"/>
        <v/>
      </c>
      <c r="AT51" s="35" t="str">
        <f t="shared" si="5"/>
        <v/>
      </c>
      <c r="AU51" s="35" t="e">
        <f t="shared" si="10"/>
        <v>#VALUE!</v>
      </c>
      <c r="AV51" s="35" t="str">
        <f t="shared" si="11"/>
        <v/>
      </c>
      <c r="AW51" s="133" t="str">
        <f t="shared" si="6"/>
        <v/>
      </c>
    </row>
    <row r="52" spans="5:49" x14ac:dyDescent="0.25">
      <c r="E52" s="21"/>
      <c r="F52" s="20"/>
      <c r="G52" s="20"/>
      <c r="H52" s="20"/>
      <c r="I52" s="20"/>
      <c r="J52" s="20"/>
      <c r="K52" s="20"/>
      <c r="L52" s="20"/>
      <c r="M52" s="20"/>
      <c r="N52" s="19"/>
      <c r="AD52" s="23">
        <v>10</v>
      </c>
      <c r="AE52" s="18">
        <f t="shared" si="7"/>
        <v>0</v>
      </c>
      <c r="AF52" s="116" t="str">
        <f>AM47</f>
        <v/>
      </c>
      <c r="AG52" s="116" t="str">
        <f>AL47</f>
        <v>1/2 in.</v>
      </c>
      <c r="AH52" s="136">
        <f>AH65</f>
        <v>70.260570918450924</v>
      </c>
      <c r="AK52" s="23">
        <f t="shared" si="1"/>
        <v>18</v>
      </c>
      <c r="AL52" s="18" t="str">
        <f t="shared" si="2"/>
        <v>No. 30</v>
      </c>
      <c r="AM52" s="35" t="str">
        <f>IF('Aggregate Charts'!H27=1,NA(),'Aggregate Charts'!H26)</f>
        <v/>
      </c>
      <c r="AN52" s="35" t="e">
        <f t="shared" si="3"/>
        <v>#N/A</v>
      </c>
      <c r="AO52" s="35" t="e">
        <f t="shared" si="8"/>
        <v>#N/A</v>
      </c>
      <c r="AP52" s="133" t="e">
        <f t="shared" si="9"/>
        <v>#N/A</v>
      </c>
      <c r="AR52" s="23" t="str">
        <f t="shared" si="4"/>
        <v/>
      </c>
      <c r="AT52" s="35" t="str">
        <f t="shared" si="5"/>
        <v/>
      </c>
      <c r="AU52" s="35" t="e">
        <f t="shared" si="10"/>
        <v>#VALUE!</v>
      </c>
      <c r="AV52" s="35" t="str">
        <f t="shared" si="11"/>
        <v/>
      </c>
      <c r="AW52" s="133" t="str">
        <f t="shared" si="6"/>
        <v/>
      </c>
    </row>
    <row r="53" spans="5:49" x14ac:dyDescent="0.25">
      <c r="AD53" s="23">
        <v>11</v>
      </c>
      <c r="AE53" s="18">
        <f t="shared" si="7"/>
        <v>0</v>
      </c>
      <c r="AF53" s="116" t="str">
        <f>AM46</f>
        <v/>
      </c>
      <c r="AG53" s="116" t="str">
        <f>AL46</f>
        <v>3/4 in.</v>
      </c>
      <c r="AH53" s="136">
        <f>AH64</f>
        <v>84.224631674288489</v>
      </c>
      <c r="AK53" s="23">
        <f t="shared" si="1"/>
        <v>13</v>
      </c>
      <c r="AL53" s="18" t="str">
        <f t="shared" si="2"/>
        <v>No. 50</v>
      </c>
      <c r="AM53" s="35" t="str">
        <f>IF('Aggregate Charts'!H28=1,NA(),'Aggregate Charts'!H27)</f>
        <v/>
      </c>
      <c r="AN53" s="35" t="e">
        <f t="shared" si="3"/>
        <v>#N/A</v>
      </c>
      <c r="AO53" s="35" t="e">
        <f t="shared" si="8"/>
        <v>#N/A</v>
      </c>
      <c r="AP53" s="133" t="e">
        <f t="shared" si="9"/>
        <v>#N/A</v>
      </c>
      <c r="AR53" s="23" t="str">
        <f t="shared" si="4"/>
        <v/>
      </c>
      <c r="AT53" s="35" t="str">
        <f t="shared" si="5"/>
        <v/>
      </c>
      <c r="AU53" s="35" t="e">
        <f t="shared" si="10"/>
        <v>#VALUE!</v>
      </c>
      <c r="AV53" s="35" t="str">
        <f t="shared" si="11"/>
        <v/>
      </c>
      <c r="AW53" s="133" t="str">
        <f t="shared" si="6"/>
        <v/>
      </c>
    </row>
    <row r="54" spans="5:49" x14ac:dyDescent="0.25">
      <c r="AD54" s="23">
        <v>12</v>
      </c>
      <c r="AE54" s="18">
        <f t="shared" si="7"/>
        <v>0</v>
      </c>
      <c r="AF54" s="116" t="str">
        <f>AM45</f>
        <v/>
      </c>
      <c r="AG54" s="116" t="str">
        <f>AL45</f>
        <v>1 in.</v>
      </c>
      <c r="AH54" s="136">
        <f>AH63</f>
        <v>95.978768337151067</v>
      </c>
      <c r="AK54" s="23">
        <f t="shared" si="1"/>
        <v>10</v>
      </c>
      <c r="AL54" s="18" t="str">
        <f t="shared" si="2"/>
        <v>No. 100</v>
      </c>
      <c r="AM54" s="35" t="str">
        <f>IF('Aggregate Charts'!H29=1,NA(),'Aggregate Charts'!H28)</f>
        <v/>
      </c>
      <c r="AN54" s="35" t="e">
        <f t="shared" si="3"/>
        <v>#N/A</v>
      </c>
      <c r="AO54" s="35" t="e">
        <f t="shared" si="8"/>
        <v>#N/A</v>
      </c>
      <c r="AP54" s="133" t="e">
        <f t="shared" si="9"/>
        <v>#N/A</v>
      </c>
      <c r="AR54" s="23" t="str">
        <f t="shared" si="4"/>
        <v/>
      </c>
      <c r="AT54" s="35" t="str">
        <f t="shared" si="5"/>
        <v/>
      </c>
      <c r="AU54" s="35" t="e">
        <f t="shared" si="10"/>
        <v>#VALUE!</v>
      </c>
      <c r="AV54" s="35" t="str">
        <f t="shared" si="11"/>
        <v/>
      </c>
      <c r="AW54" s="133" t="str">
        <f t="shared" si="6"/>
        <v/>
      </c>
    </row>
    <row r="55" spans="5:49" x14ac:dyDescent="0.25">
      <c r="AD55" s="23">
        <v>13</v>
      </c>
      <c r="AE55" s="18">
        <f t="shared" si="7"/>
        <v>0</v>
      </c>
      <c r="AF55" s="116" t="str">
        <f>AM44</f>
        <v/>
      </c>
      <c r="AG55" s="116" t="str">
        <f>AL44</f>
        <v>1 1/2 in.</v>
      </c>
      <c r="AH55" s="136">
        <f>AH62</f>
        <v>115.19038744950137</v>
      </c>
      <c r="AK55" s="23">
        <f t="shared" si="1"/>
        <v>7</v>
      </c>
      <c r="AL55" s="18" t="str">
        <f t="shared" si="2"/>
        <v>No. 200</v>
      </c>
      <c r="AM55" s="35" t="str">
        <f>IF('Aggregate Charts'!H30=1,NA(),'Aggregate Charts'!H29)</f>
        <v/>
      </c>
      <c r="AN55" s="35" t="e">
        <f t="shared" si="3"/>
        <v>#N/A</v>
      </c>
      <c r="AO55" s="35" t="e">
        <f t="shared" si="8"/>
        <v>#N/A</v>
      </c>
      <c r="AP55" s="133" t="e">
        <f t="shared" si="9"/>
        <v>#N/A</v>
      </c>
      <c r="AR55" s="23" t="str">
        <f t="shared" si="4"/>
        <v/>
      </c>
      <c r="AT55" s="35" t="str">
        <f t="shared" si="5"/>
        <v/>
      </c>
      <c r="AU55" s="35" t="e">
        <f t="shared" si="10"/>
        <v>#VALUE!</v>
      </c>
      <c r="AV55" s="35" t="str">
        <f t="shared" si="11"/>
        <v/>
      </c>
      <c r="AW55" s="133" t="str">
        <f t="shared" si="6"/>
        <v/>
      </c>
    </row>
    <row r="56" spans="5:49" x14ac:dyDescent="0.25">
      <c r="AD56" s="21">
        <v>14</v>
      </c>
      <c r="AE56" s="20">
        <f t="shared" si="7"/>
        <v>0</v>
      </c>
      <c r="AF56" s="119" t="str">
        <f>AM43</f>
        <v/>
      </c>
      <c r="AG56" s="119" t="str">
        <f>AL43</f>
        <v>2 in.</v>
      </c>
      <c r="AH56" s="135">
        <f>AH61</f>
        <v>131.11086134225255</v>
      </c>
      <c r="AK56" s="21">
        <f t="shared" si="1"/>
        <v>0</v>
      </c>
      <c r="AL56" s="20" t="str">
        <f t="shared" si="2"/>
        <v>Pan</v>
      </c>
      <c r="AM56" s="134">
        <f>'Aggregate Charts'!H30</f>
        <v>0</v>
      </c>
      <c r="AN56" s="134">
        <v>0</v>
      </c>
      <c r="AO56" s="112">
        <f t="shared" si="8"/>
        <v>-7.0000000000000007E-2</v>
      </c>
      <c r="AP56" s="111">
        <f t="shared" si="9"/>
        <v>7.0000000000000007E-2</v>
      </c>
      <c r="AR56" s="23">
        <f t="shared" si="4"/>
        <v>0</v>
      </c>
      <c r="AT56" s="35">
        <f t="shared" si="5"/>
        <v>0</v>
      </c>
      <c r="AU56" s="35" t="e">
        <f t="shared" si="10"/>
        <v>#DIV/0!</v>
      </c>
      <c r="AV56" s="35" t="str">
        <f t="shared" si="11"/>
        <v/>
      </c>
      <c r="AW56" s="133" t="str">
        <f t="shared" si="6"/>
        <v/>
      </c>
    </row>
    <row r="57" spans="5:49" x14ac:dyDescent="0.25">
      <c r="AR57" s="23"/>
      <c r="AW57" s="22"/>
    </row>
    <row r="58" spans="5:49" x14ac:dyDescent="0.25">
      <c r="I58" s="34" t="s">
        <v>170</v>
      </c>
      <c r="J58" s="128" t="e">
        <f>I67/I68</f>
        <v>#VALUE!</v>
      </c>
      <c r="AD58" s="99" t="s">
        <v>169</v>
      </c>
      <c r="AE58" s="50"/>
      <c r="AF58" s="50"/>
      <c r="AG58" s="50"/>
      <c r="AH58" s="50"/>
      <c r="AI58" s="97"/>
      <c r="AR58" s="23"/>
      <c r="AW58" s="22"/>
    </row>
    <row r="59" spans="5:49" x14ac:dyDescent="0.25">
      <c r="AD59" s="65" t="s">
        <v>168</v>
      </c>
      <c r="AE59" s="48" t="s">
        <v>167</v>
      </c>
      <c r="AF59" s="48" t="s">
        <v>166</v>
      </c>
      <c r="AG59" s="48" t="s">
        <v>165</v>
      </c>
      <c r="AH59" s="132" t="s">
        <v>164</v>
      </c>
      <c r="AI59" s="131" t="s">
        <v>163</v>
      </c>
      <c r="AL59" s="18">
        <v>2</v>
      </c>
      <c r="AM59" s="18">
        <v>3</v>
      </c>
      <c r="AN59" s="18">
        <v>4</v>
      </c>
      <c r="AO59" s="18">
        <v>5</v>
      </c>
      <c r="AP59" s="18">
        <v>6</v>
      </c>
      <c r="AR59" s="23"/>
      <c r="AU59" s="18">
        <v>11</v>
      </c>
      <c r="AV59" s="18">
        <v>12</v>
      </c>
      <c r="AW59" s="22">
        <v>13</v>
      </c>
    </row>
    <row r="60" spans="5:49" x14ac:dyDescent="0.25">
      <c r="H60" s="18" t="s">
        <v>162</v>
      </c>
      <c r="AD60" s="18" t="s">
        <v>161</v>
      </c>
      <c r="AE60" s="18" t="s">
        <v>160</v>
      </c>
      <c r="AG60" s="18" t="s">
        <v>159</v>
      </c>
      <c r="AK60" s="65">
        <v>0</v>
      </c>
      <c r="AL60" s="48" t="str">
        <f t="shared" ref="AL60:AL91" si="12">IF(ISNA(VLOOKUP($AK60,$AK$43:$AP$56,AL$59,FALSE)),"",VLOOKUP($AK60,$AK$43:$AP$56,AL$59,FALSE))</f>
        <v>Pan</v>
      </c>
      <c r="AM60" s="130">
        <f t="shared" ref="AM60:AP79" si="13">IF(ISBLANK(VLOOKUP($AK60,$AK$43:$AP$56,AM$59,FALSE)),NA(),VLOOKUP($AK60,$AK$43:$AP$56,AM$59,FALSE))</f>
        <v>0</v>
      </c>
      <c r="AN60" s="130">
        <f t="shared" si="13"/>
        <v>0</v>
      </c>
      <c r="AO60" s="130">
        <f t="shared" si="13"/>
        <v>-7.0000000000000007E-2</v>
      </c>
      <c r="AP60" s="129">
        <f t="shared" si="13"/>
        <v>7.0000000000000007E-2</v>
      </c>
      <c r="AQ60" s="18" t="e">
        <f>NA()</f>
        <v>#N/A</v>
      </c>
      <c r="AR60" s="23"/>
      <c r="AU60" s="130" t="e">
        <f>IF(ISBLANK(VLOOKUP($AK60,$AK$43:$AW$56,AU$59,FALSE)),NA(),VLOOKUP($AK60,$AK$43:$AW$56,AU$59,FALSE))</f>
        <v>#DIV/0!</v>
      </c>
      <c r="AV60" s="130" t="str">
        <f>IF(ISBLANK(VLOOKUP($AK60,$AK$43:$AW$56,AV$59,FALSE)),NA(),VLOOKUP($AK60,$AK$43:$AW$56,AV$59,FALSE))</f>
        <v/>
      </c>
      <c r="AW60" s="129" t="str">
        <f>IF(ISBLANK(VLOOKUP($AK60,$AK$43:$AW$56,AW$59,FALSE)),NA(),VLOOKUP($AK60,$AK$43:$AW$56,AW$59,FALSE))</f>
        <v/>
      </c>
    </row>
    <row r="61" spans="5:49" x14ac:dyDescent="0.25">
      <c r="I61" s="34" t="s">
        <v>158</v>
      </c>
      <c r="J61" s="128" t="e">
        <f>I69+2.5*(I70-564)/94/100</f>
        <v>#VALUE!</v>
      </c>
      <c r="AD61" s="65" t="s">
        <v>78</v>
      </c>
      <c r="AE61" s="48">
        <v>2</v>
      </c>
      <c r="AF61" s="48">
        <v>50.8</v>
      </c>
      <c r="AG61" s="48">
        <v>50800</v>
      </c>
      <c r="AH61" s="127">
        <f t="shared" ref="AH61:AH74" si="14">AG61^0.45</f>
        <v>131.11086134225255</v>
      </c>
      <c r="AI61" s="47">
        <f t="shared" ref="AI61:AI74" si="15">LOG(AH61)</f>
        <v>2.1176386705277639</v>
      </c>
      <c r="AK61" s="23">
        <v>1</v>
      </c>
      <c r="AL61" s="18" t="str">
        <f t="shared" si="12"/>
        <v/>
      </c>
      <c r="AM61" s="114" t="e">
        <f t="shared" si="13"/>
        <v>#N/A</v>
      </c>
      <c r="AN61" s="114" t="e">
        <f t="shared" si="13"/>
        <v>#N/A</v>
      </c>
      <c r="AO61" s="114" t="e">
        <f t="shared" si="13"/>
        <v>#N/A</v>
      </c>
      <c r="AP61" s="113" t="e">
        <f t="shared" si="13"/>
        <v>#N/A</v>
      </c>
      <c r="AQ61" s="18" t="e">
        <f>NA()</f>
        <v>#N/A</v>
      </c>
      <c r="AR61" s="23"/>
      <c r="AU61" s="114" t="e">
        <f t="shared" ref="AU61:AU92" si="16">IF(ISBLANK(VLOOKUP($AK61,$AK$43:$AU$56,AU$59,FALSE)),NA(),VLOOKUP($AK61,$AK$43:$AU$56,AU$59,FALSE))</f>
        <v>#N/A</v>
      </c>
      <c r="AV61" s="114" t="e">
        <f t="shared" ref="AV61:AW80" si="17">IF(ISBLANK(VLOOKUP($AK61,$AK$43:$AW$56,AV$59,FALSE)),NA(),VLOOKUP($AK61,$AK$43:$AW$56,AV$59,FALSE))</f>
        <v>#N/A</v>
      </c>
      <c r="AW61" s="113" t="e">
        <f t="shared" si="17"/>
        <v>#N/A</v>
      </c>
    </row>
    <row r="62" spans="5:49" x14ac:dyDescent="0.25">
      <c r="T62" s="65" t="s">
        <v>157</v>
      </c>
      <c r="U62" s="47"/>
      <c r="AD62" s="23" t="s">
        <v>77</v>
      </c>
      <c r="AE62" s="18">
        <v>1.5</v>
      </c>
      <c r="AF62" s="18">
        <v>38.099999999999994</v>
      </c>
      <c r="AG62" s="18">
        <v>38100</v>
      </c>
      <c r="AH62" s="125">
        <f t="shared" si="14"/>
        <v>115.19038744950137</v>
      </c>
      <c r="AI62" s="22">
        <f t="shared" si="15"/>
        <v>2.0614162390540285</v>
      </c>
      <c r="AK62" s="23">
        <v>2</v>
      </c>
      <c r="AL62" s="18" t="str">
        <f t="shared" si="12"/>
        <v/>
      </c>
      <c r="AM62" s="114" t="e">
        <f t="shared" si="13"/>
        <v>#N/A</v>
      </c>
      <c r="AN62" s="114" t="e">
        <f t="shared" si="13"/>
        <v>#N/A</v>
      </c>
      <c r="AO62" s="114" t="e">
        <f t="shared" si="13"/>
        <v>#N/A</v>
      </c>
      <c r="AP62" s="113" t="e">
        <f t="shared" si="13"/>
        <v>#N/A</v>
      </c>
      <c r="AQ62" s="18" t="e">
        <f>NA()</f>
        <v>#N/A</v>
      </c>
      <c r="AR62" s="23"/>
      <c r="AU62" s="114" t="e">
        <f t="shared" si="16"/>
        <v>#N/A</v>
      </c>
      <c r="AV62" s="114" t="e">
        <f t="shared" si="17"/>
        <v>#N/A</v>
      </c>
      <c r="AW62" s="113" t="e">
        <f t="shared" si="17"/>
        <v>#N/A</v>
      </c>
    </row>
    <row r="63" spans="5:49" x14ac:dyDescent="0.25">
      <c r="H63" s="18" t="s">
        <v>156</v>
      </c>
      <c r="T63" s="23" t="s">
        <v>112</v>
      </c>
      <c r="U63" s="22" t="s">
        <v>111</v>
      </c>
      <c r="AD63" s="23" t="s">
        <v>76</v>
      </c>
      <c r="AE63" s="18">
        <v>1</v>
      </c>
      <c r="AF63" s="18">
        <v>25.4</v>
      </c>
      <c r="AG63" s="18">
        <v>25400</v>
      </c>
      <c r="AH63" s="125">
        <f t="shared" si="14"/>
        <v>95.978768337151067</v>
      </c>
      <c r="AI63" s="22">
        <f t="shared" si="15"/>
        <v>1.9821751724789722</v>
      </c>
      <c r="AK63" s="23">
        <v>3</v>
      </c>
      <c r="AL63" s="18" t="str">
        <f t="shared" si="12"/>
        <v/>
      </c>
      <c r="AM63" s="114" t="e">
        <f t="shared" si="13"/>
        <v>#N/A</v>
      </c>
      <c r="AN63" s="114" t="e">
        <f t="shared" si="13"/>
        <v>#N/A</v>
      </c>
      <c r="AO63" s="114" t="e">
        <f t="shared" si="13"/>
        <v>#N/A</v>
      </c>
      <c r="AP63" s="113" t="e">
        <f t="shared" si="13"/>
        <v>#N/A</v>
      </c>
      <c r="AQ63" s="18" t="e">
        <f>NA()</f>
        <v>#N/A</v>
      </c>
      <c r="AR63" s="23"/>
      <c r="AU63" s="114" t="e">
        <f t="shared" si="16"/>
        <v>#N/A</v>
      </c>
      <c r="AV63" s="114" t="e">
        <f t="shared" si="17"/>
        <v>#N/A</v>
      </c>
      <c r="AW63" s="113" t="e">
        <f t="shared" si="17"/>
        <v>#N/A</v>
      </c>
    </row>
    <row r="64" spans="5:49" x14ac:dyDescent="0.25">
      <c r="T64" s="23" t="s">
        <v>144</v>
      </c>
      <c r="U64" s="22"/>
      <c r="W64" s="65" t="s">
        <v>82</v>
      </c>
      <c r="X64" s="48" t="s">
        <v>92</v>
      </c>
      <c r="Y64" s="48" t="s">
        <v>155</v>
      </c>
      <c r="Z64" s="47" t="s">
        <v>154</v>
      </c>
      <c r="AD64" s="23" t="s">
        <v>75</v>
      </c>
      <c r="AE64" s="18">
        <v>0.75</v>
      </c>
      <c r="AF64" s="18">
        <v>19</v>
      </c>
      <c r="AG64" s="18">
        <v>19000</v>
      </c>
      <c r="AH64" s="125">
        <f t="shared" si="14"/>
        <v>84.224631674288489</v>
      </c>
      <c r="AI64" s="22">
        <f t="shared" si="15"/>
        <v>1.9254391204287729</v>
      </c>
      <c r="AK64" s="23">
        <v>4</v>
      </c>
      <c r="AL64" s="18" t="str">
        <f t="shared" si="12"/>
        <v/>
      </c>
      <c r="AM64" s="114" t="e">
        <f t="shared" si="13"/>
        <v>#N/A</v>
      </c>
      <c r="AN64" s="114" t="e">
        <f t="shared" si="13"/>
        <v>#N/A</v>
      </c>
      <c r="AO64" s="114" t="e">
        <f t="shared" si="13"/>
        <v>#N/A</v>
      </c>
      <c r="AP64" s="113" t="e">
        <f t="shared" si="13"/>
        <v>#N/A</v>
      </c>
      <c r="AQ64" s="18" t="e">
        <f>NA()</f>
        <v>#N/A</v>
      </c>
      <c r="AR64" s="23"/>
      <c r="AU64" s="114" t="e">
        <f t="shared" si="16"/>
        <v>#N/A</v>
      </c>
      <c r="AV64" s="114" t="e">
        <f t="shared" si="17"/>
        <v>#N/A</v>
      </c>
      <c r="AW64" s="113" t="e">
        <f t="shared" si="17"/>
        <v>#N/A</v>
      </c>
    </row>
    <row r="65" spans="6:49" x14ac:dyDescent="0.25">
      <c r="I65" s="18" t="e">
        <f>"CF = "&amp;TEXT(J58,"##.#%")&amp;",   WF = "&amp;TEXT(J61,"##.#%")</f>
        <v>#VALUE!</v>
      </c>
      <c r="L65" s="41"/>
      <c r="T65" s="118">
        <f>T69</f>
        <v>0.52</v>
      </c>
      <c r="U65" s="117">
        <f>U69</f>
        <v>0.34</v>
      </c>
      <c r="W65" s="23" t="s">
        <v>78</v>
      </c>
      <c r="X65" s="116" t="str">
        <f t="shared" ref="X65:Z72" si="18">IF(X80=0,NA(),X79)</f>
        <v/>
      </c>
      <c r="Y65" s="116" t="e">
        <f t="shared" si="18"/>
        <v>#N/A</v>
      </c>
      <c r="Z65" s="123" t="e">
        <f t="shared" si="18"/>
        <v>#N/A</v>
      </c>
      <c r="AD65" s="23" t="s">
        <v>74</v>
      </c>
      <c r="AE65" s="18">
        <v>0.5</v>
      </c>
      <c r="AF65" s="18">
        <v>12.7</v>
      </c>
      <c r="AG65" s="18">
        <v>12700</v>
      </c>
      <c r="AH65" s="125">
        <f t="shared" si="14"/>
        <v>70.260570918450924</v>
      </c>
      <c r="AI65" s="22">
        <f t="shared" si="15"/>
        <v>1.846711674430181</v>
      </c>
      <c r="AK65" s="23">
        <v>5</v>
      </c>
      <c r="AL65" s="18" t="str">
        <f t="shared" si="12"/>
        <v/>
      </c>
      <c r="AM65" s="114" t="e">
        <f t="shared" si="13"/>
        <v>#N/A</v>
      </c>
      <c r="AN65" s="114" t="e">
        <f t="shared" si="13"/>
        <v>#N/A</v>
      </c>
      <c r="AO65" s="114" t="e">
        <f t="shared" si="13"/>
        <v>#N/A</v>
      </c>
      <c r="AP65" s="113" t="e">
        <f t="shared" si="13"/>
        <v>#N/A</v>
      </c>
      <c r="AQ65" s="18" t="e">
        <f>NA()</f>
        <v>#N/A</v>
      </c>
      <c r="AR65" s="23"/>
      <c r="AU65" s="114" t="e">
        <f t="shared" si="16"/>
        <v>#N/A</v>
      </c>
      <c r="AV65" s="114" t="e">
        <f t="shared" si="17"/>
        <v>#N/A</v>
      </c>
      <c r="AW65" s="113" t="e">
        <f t="shared" si="17"/>
        <v>#N/A</v>
      </c>
    </row>
    <row r="66" spans="6:49" x14ac:dyDescent="0.25">
      <c r="T66" s="118">
        <f>G123</f>
        <v>0.52</v>
      </c>
      <c r="U66" s="115">
        <f>H123</f>
        <v>0.38</v>
      </c>
      <c r="W66" s="23" t="s">
        <v>77</v>
      </c>
      <c r="X66" s="116" t="str">
        <f t="shared" si="18"/>
        <v/>
      </c>
      <c r="Y66" s="116" t="e">
        <f t="shared" si="18"/>
        <v>#N/A</v>
      </c>
      <c r="Z66" s="123" t="e">
        <f t="shared" si="18"/>
        <v>#N/A</v>
      </c>
      <c r="AD66" s="23" t="s">
        <v>73</v>
      </c>
      <c r="AE66" s="18">
        <v>0.375</v>
      </c>
      <c r="AF66" s="18">
        <v>9.51</v>
      </c>
      <c r="AG66" s="18">
        <v>9510</v>
      </c>
      <c r="AH66" s="125">
        <f t="shared" si="14"/>
        <v>61.685236282952467</v>
      </c>
      <c r="AI66" s="22">
        <f t="shared" si="15"/>
        <v>1.7901812326218365</v>
      </c>
      <c r="AK66" s="23">
        <v>6</v>
      </c>
      <c r="AL66" s="18" t="str">
        <f t="shared" si="12"/>
        <v/>
      </c>
      <c r="AM66" s="114" t="e">
        <f t="shared" si="13"/>
        <v>#N/A</v>
      </c>
      <c r="AN66" s="114" t="e">
        <f t="shared" si="13"/>
        <v>#N/A</v>
      </c>
      <c r="AO66" s="114" t="e">
        <f t="shared" si="13"/>
        <v>#N/A</v>
      </c>
      <c r="AP66" s="113" t="e">
        <f t="shared" si="13"/>
        <v>#N/A</v>
      </c>
      <c r="AQ66" s="18" t="e">
        <f>NA()</f>
        <v>#N/A</v>
      </c>
      <c r="AR66" s="23"/>
      <c r="AU66" s="114" t="e">
        <f t="shared" si="16"/>
        <v>#N/A</v>
      </c>
      <c r="AV66" s="114" t="e">
        <f t="shared" si="17"/>
        <v>#N/A</v>
      </c>
      <c r="AW66" s="113" t="e">
        <f t="shared" si="17"/>
        <v>#N/A</v>
      </c>
    </row>
    <row r="67" spans="6:49" x14ac:dyDescent="0.25">
      <c r="H67" s="34" t="s">
        <v>153</v>
      </c>
      <c r="I67" s="116" t="str">
        <f>'Aggregate Charts'!I22</f>
        <v/>
      </c>
      <c r="J67" s="18" t="s">
        <v>152</v>
      </c>
      <c r="T67" s="118">
        <f>G124</f>
        <v>0.68</v>
      </c>
      <c r="U67" s="115">
        <f>H124</f>
        <v>0.36</v>
      </c>
      <c r="W67" s="23" t="s">
        <v>76</v>
      </c>
      <c r="X67" s="116" t="str">
        <f t="shared" si="18"/>
        <v/>
      </c>
      <c r="Y67" s="116" t="e">
        <f t="shared" si="18"/>
        <v>#N/A</v>
      </c>
      <c r="Z67" s="123" t="e">
        <f t="shared" si="18"/>
        <v>#N/A</v>
      </c>
      <c r="AD67" s="23" t="s">
        <v>72</v>
      </c>
      <c r="AE67" s="18">
        <v>0.187</v>
      </c>
      <c r="AF67" s="18">
        <v>4.76</v>
      </c>
      <c r="AG67" s="18">
        <v>4760</v>
      </c>
      <c r="AH67" s="125">
        <f t="shared" si="14"/>
        <v>45.177597175157636</v>
      </c>
      <c r="AI67" s="22">
        <f t="shared" si="15"/>
        <v>1.6549231287242221</v>
      </c>
      <c r="AK67" s="23">
        <v>7</v>
      </c>
      <c r="AL67" s="18" t="str">
        <f t="shared" si="12"/>
        <v>No. 200</v>
      </c>
      <c r="AM67" s="114" t="str">
        <f t="shared" si="13"/>
        <v/>
      </c>
      <c r="AN67" s="114" t="e">
        <f t="shared" si="13"/>
        <v>#N/A</v>
      </c>
      <c r="AO67" s="114" t="e">
        <f t="shared" si="13"/>
        <v>#N/A</v>
      </c>
      <c r="AP67" s="113" t="e">
        <f t="shared" si="13"/>
        <v>#N/A</v>
      </c>
      <c r="AQ67" s="126">
        <v>1</v>
      </c>
      <c r="AR67" s="23"/>
      <c r="AU67" s="114" t="e">
        <f t="shared" si="16"/>
        <v>#VALUE!</v>
      </c>
      <c r="AV67" s="114" t="str">
        <f t="shared" si="17"/>
        <v/>
      </c>
      <c r="AW67" s="113" t="str">
        <f t="shared" si="17"/>
        <v/>
      </c>
    </row>
    <row r="68" spans="6:49" x14ac:dyDescent="0.25">
      <c r="H68" s="34" t="s">
        <v>151</v>
      </c>
      <c r="I68" s="116" t="str">
        <f>'Aggregate Charts'!I24</f>
        <v/>
      </c>
      <c r="J68" s="18" t="s">
        <v>150</v>
      </c>
      <c r="T68" s="118">
        <f>G114</f>
        <v>0.68</v>
      </c>
      <c r="U68" s="115">
        <f>H114</f>
        <v>0.32</v>
      </c>
      <c r="W68" s="23" t="s">
        <v>75</v>
      </c>
      <c r="X68" s="116" t="str">
        <f t="shared" si="18"/>
        <v/>
      </c>
      <c r="Y68" s="116">
        <f t="shared" si="18"/>
        <v>0</v>
      </c>
      <c r="Z68" s="123" t="e">
        <f t="shared" si="18"/>
        <v>#N/A</v>
      </c>
      <c r="AD68" s="23" t="s">
        <v>71</v>
      </c>
      <c r="AE68" s="18">
        <v>9.3700000000000006E-2</v>
      </c>
      <c r="AF68" s="18">
        <v>2.38</v>
      </c>
      <c r="AG68" s="18">
        <v>2380</v>
      </c>
      <c r="AH68" s="125">
        <f t="shared" si="14"/>
        <v>33.071936900670877</v>
      </c>
      <c r="AI68" s="22">
        <f t="shared" si="15"/>
        <v>1.5194596306754302</v>
      </c>
      <c r="AK68" s="23">
        <v>8</v>
      </c>
      <c r="AL68" s="18" t="str">
        <f t="shared" si="12"/>
        <v/>
      </c>
      <c r="AM68" s="114" t="e">
        <f t="shared" si="13"/>
        <v>#N/A</v>
      </c>
      <c r="AN68" s="114" t="e">
        <f t="shared" si="13"/>
        <v>#N/A</v>
      </c>
      <c r="AO68" s="114" t="e">
        <f t="shared" si="13"/>
        <v>#N/A</v>
      </c>
      <c r="AP68" s="113" t="e">
        <f t="shared" si="13"/>
        <v>#N/A</v>
      </c>
      <c r="AQ68" s="18" t="e">
        <f>NA()</f>
        <v>#N/A</v>
      </c>
      <c r="AR68" s="23"/>
      <c r="AU68" s="114" t="e">
        <f t="shared" si="16"/>
        <v>#N/A</v>
      </c>
      <c r="AV68" s="114" t="e">
        <f t="shared" si="17"/>
        <v>#N/A</v>
      </c>
      <c r="AW68" s="113" t="e">
        <f t="shared" si="17"/>
        <v>#N/A</v>
      </c>
    </row>
    <row r="69" spans="6:49" x14ac:dyDescent="0.25">
      <c r="H69" s="34" t="s">
        <v>149</v>
      </c>
      <c r="I69" s="116" t="str">
        <f>'Aggregate Charts'!H24</f>
        <v/>
      </c>
      <c r="J69" s="18" t="s">
        <v>148</v>
      </c>
      <c r="T69" s="118">
        <f>G115</f>
        <v>0.52</v>
      </c>
      <c r="U69" s="115">
        <f>H115</f>
        <v>0.34</v>
      </c>
      <c r="W69" s="23" t="s">
        <v>74</v>
      </c>
      <c r="X69" s="116" t="str">
        <f t="shared" si="18"/>
        <v/>
      </c>
      <c r="Y69" s="116">
        <f t="shared" si="18"/>
        <v>0.08</v>
      </c>
      <c r="Z69" s="123" t="e">
        <f t="shared" si="18"/>
        <v>#N/A</v>
      </c>
      <c r="AD69" s="23" t="s">
        <v>70</v>
      </c>
      <c r="AE69" s="18">
        <v>4.6899999999999997E-2</v>
      </c>
      <c r="AF69" s="18">
        <v>1.19</v>
      </c>
      <c r="AG69" s="18">
        <v>1190</v>
      </c>
      <c r="AH69" s="125">
        <f t="shared" si="14"/>
        <v>24.210074876744265</v>
      </c>
      <c r="AI69" s="22">
        <f t="shared" si="15"/>
        <v>1.3839961326266388</v>
      </c>
      <c r="AK69" s="23">
        <v>9</v>
      </c>
      <c r="AL69" s="18" t="str">
        <f t="shared" si="12"/>
        <v/>
      </c>
      <c r="AM69" s="114" t="e">
        <f t="shared" si="13"/>
        <v>#N/A</v>
      </c>
      <c r="AN69" s="114" t="e">
        <f t="shared" si="13"/>
        <v>#N/A</v>
      </c>
      <c r="AO69" s="114" t="e">
        <f t="shared" si="13"/>
        <v>#N/A</v>
      </c>
      <c r="AP69" s="113" t="e">
        <f t="shared" si="13"/>
        <v>#N/A</v>
      </c>
      <c r="AQ69" s="18" t="e">
        <f>NA()</f>
        <v>#N/A</v>
      </c>
      <c r="AR69" s="23"/>
      <c r="AU69" s="114" t="e">
        <f t="shared" si="16"/>
        <v>#N/A</v>
      </c>
      <c r="AV69" s="114" t="e">
        <f t="shared" si="17"/>
        <v>#N/A</v>
      </c>
      <c r="AW69" s="113" t="e">
        <f t="shared" si="17"/>
        <v>#N/A</v>
      </c>
    </row>
    <row r="70" spans="6:49" x14ac:dyDescent="0.25">
      <c r="H70" s="34" t="s">
        <v>147</v>
      </c>
      <c r="I70" s="18">
        <f>'Aggregate Charts'!G12</f>
        <v>0</v>
      </c>
      <c r="J70" s="18" t="s">
        <v>146</v>
      </c>
      <c r="T70" s="23" t="s">
        <v>145</v>
      </c>
      <c r="U70" s="22"/>
      <c r="W70" s="23" t="s">
        <v>73</v>
      </c>
      <c r="X70" s="116" t="str">
        <f t="shared" si="18"/>
        <v/>
      </c>
      <c r="Y70" s="116">
        <f t="shared" si="18"/>
        <v>0.08</v>
      </c>
      <c r="Z70" s="123" t="e">
        <f t="shared" si="18"/>
        <v>#N/A</v>
      </c>
      <c r="AD70" s="23" t="s">
        <v>69</v>
      </c>
      <c r="AE70" s="18">
        <v>2.3400000000000001E-2</v>
      </c>
      <c r="AF70" s="18">
        <v>0.59499999999999997</v>
      </c>
      <c r="AG70" s="18">
        <v>595</v>
      </c>
      <c r="AH70" s="125">
        <f t="shared" si="14"/>
        <v>17.722812162406921</v>
      </c>
      <c r="AI70" s="22">
        <f t="shared" si="15"/>
        <v>1.2485326345778474</v>
      </c>
      <c r="AK70" s="23">
        <v>10</v>
      </c>
      <c r="AL70" s="18" t="str">
        <f t="shared" si="12"/>
        <v>No. 100</v>
      </c>
      <c r="AM70" s="114" t="str">
        <f t="shared" si="13"/>
        <v/>
      </c>
      <c r="AN70" s="114" t="e">
        <f t="shared" si="13"/>
        <v>#N/A</v>
      </c>
      <c r="AO70" s="114" t="e">
        <f t="shared" si="13"/>
        <v>#N/A</v>
      </c>
      <c r="AP70" s="113" t="e">
        <f t="shared" si="13"/>
        <v>#N/A</v>
      </c>
      <c r="AQ70" s="126">
        <f>AQ67</f>
        <v>1</v>
      </c>
      <c r="AR70" s="23"/>
      <c r="AU70" s="114" t="e">
        <f t="shared" si="16"/>
        <v>#VALUE!</v>
      </c>
      <c r="AV70" s="114" t="str">
        <f t="shared" si="17"/>
        <v/>
      </c>
      <c r="AW70" s="113" t="str">
        <f t="shared" si="17"/>
        <v/>
      </c>
    </row>
    <row r="71" spans="6:49" x14ac:dyDescent="0.25">
      <c r="T71" s="118" t="e">
        <f>J58</f>
        <v>#VALUE!</v>
      </c>
      <c r="U71" s="117" t="e">
        <f>J61</f>
        <v>#VALUE!</v>
      </c>
      <c r="W71" s="23" t="s">
        <v>72</v>
      </c>
      <c r="X71" s="116" t="str">
        <f t="shared" si="18"/>
        <v/>
      </c>
      <c r="Y71" s="116">
        <f t="shared" si="18"/>
        <v>0.08</v>
      </c>
      <c r="Z71" s="123" t="e">
        <f t="shared" si="18"/>
        <v>#N/A</v>
      </c>
      <c r="AD71" s="23" t="s">
        <v>68</v>
      </c>
      <c r="AE71" s="18">
        <v>1.17E-2</v>
      </c>
      <c r="AF71" s="18">
        <v>0.29699999999999999</v>
      </c>
      <c r="AG71" s="18">
        <v>297</v>
      </c>
      <c r="AH71" s="125">
        <f t="shared" si="14"/>
        <v>12.964041189051768</v>
      </c>
      <c r="AI71" s="22">
        <f t="shared" si="15"/>
        <v>1.1127404021927456</v>
      </c>
      <c r="AK71" s="23">
        <v>11</v>
      </c>
      <c r="AL71" s="18" t="str">
        <f t="shared" si="12"/>
        <v/>
      </c>
      <c r="AM71" s="114" t="e">
        <f t="shared" si="13"/>
        <v>#N/A</v>
      </c>
      <c r="AN71" s="114" t="e">
        <f t="shared" si="13"/>
        <v>#N/A</v>
      </c>
      <c r="AO71" s="114" t="e">
        <f t="shared" si="13"/>
        <v>#N/A</v>
      </c>
      <c r="AP71" s="113" t="e">
        <f t="shared" si="13"/>
        <v>#N/A</v>
      </c>
      <c r="AQ71" s="18" t="e">
        <f>NA()</f>
        <v>#N/A</v>
      </c>
      <c r="AR71" s="23"/>
      <c r="AU71" s="114" t="e">
        <f t="shared" si="16"/>
        <v>#N/A</v>
      </c>
      <c r="AV71" s="114" t="e">
        <f t="shared" si="17"/>
        <v>#N/A</v>
      </c>
      <c r="AW71" s="113" t="e">
        <f t="shared" si="17"/>
        <v>#N/A</v>
      </c>
    </row>
    <row r="72" spans="6:49" x14ac:dyDescent="0.25">
      <c r="G72" s="18" t="s">
        <v>144</v>
      </c>
      <c r="T72" s="23" t="s">
        <v>143</v>
      </c>
      <c r="U72" s="22"/>
      <c r="W72" s="23" t="s">
        <v>71</v>
      </c>
      <c r="X72" s="116" t="str">
        <f t="shared" si="18"/>
        <v/>
      </c>
      <c r="Y72" s="116">
        <f t="shared" si="18"/>
        <v>0.08</v>
      </c>
      <c r="Z72" s="123" t="e">
        <f t="shared" si="18"/>
        <v>#N/A</v>
      </c>
      <c r="AD72" s="23" t="s">
        <v>67</v>
      </c>
      <c r="AE72" s="18">
        <v>5.8999999999999999E-3</v>
      </c>
      <c r="AF72" s="18">
        <v>0.14899999999999999</v>
      </c>
      <c r="AG72" s="18">
        <v>149</v>
      </c>
      <c r="AH72" s="125">
        <f t="shared" si="14"/>
        <v>9.5045994842303667</v>
      </c>
      <c r="AI72" s="22">
        <f t="shared" si="15"/>
        <v>0.97793382078552349</v>
      </c>
      <c r="AK72" s="23">
        <v>12</v>
      </c>
      <c r="AL72" s="18" t="str">
        <f t="shared" si="12"/>
        <v/>
      </c>
      <c r="AM72" s="114" t="e">
        <f t="shared" si="13"/>
        <v>#N/A</v>
      </c>
      <c r="AN72" s="114" t="e">
        <f t="shared" si="13"/>
        <v>#N/A</v>
      </c>
      <c r="AO72" s="114" t="e">
        <f t="shared" si="13"/>
        <v>#N/A</v>
      </c>
      <c r="AP72" s="113" t="e">
        <f t="shared" si="13"/>
        <v>#N/A</v>
      </c>
      <c r="AQ72" s="18" t="e">
        <f>NA()</f>
        <v>#N/A</v>
      </c>
      <c r="AR72" s="23"/>
      <c r="AU72" s="114" t="e">
        <f t="shared" si="16"/>
        <v>#N/A</v>
      </c>
      <c r="AV72" s="114" t="e">
        <f t="shared" si="17"/>
        <v>#N/A</v>
      </c>
      <c r="AW72" s="113" t="e">
        <f t="shared" si="17"/>
        <v>#N/A</v>
      </c>
    </row>
    <row r="73" spans="6:49" x14ac:dyDescent="0.25">
      <c r="H73" s="18" t="s">
        <v>142</v>
      </c>
      <c r="T73" s="118">
        <f>G81</f>
        <v>0.8</v>
      </c>
      <c r="U73" s="117">
        <f>H81</f>
        <v>0.26</v>
      </c>
      <c r="W73" s="23" t="s">
        <v>70</v>
      </c>
      <c r="X73" s="116" t="str">
        <f t="shared" ref="X73:Z76" si="19">X87</f>
        <v/>
      </c>
      <c r="Y73" s="116">
        <f t="shared" si="19"/>
        <v>0.08</v>
      </c>
      <c r="Z73" s="123">
        <f t="shared" si="19"/>
        <v>0</v>
      </c>
      <c r="AD73" s="23" t="s">
        <v>66</v>
      </c>
      <c r="AE73" s="18">
        <v>2.8999999999999998E-3</v>
      </c>
      <c r="AF73" s="18">
        <v>7.3999999999999996E-2</v>
      </c>
      <c r="AG73" s="18">
        <v>74</v>
      </c>
      <c r="AH73" s="125">
        <f t="shared" si="14"/>
        <v>6.9367217454368229</v>
      </c>
      <c r="AI73" s="22">
        <f t="shared" si="15"/>
        <v>0.84115427387893937</v>
      </c>
      <c r="AK73" s="23">
        <v>13</v>
      </c>
      <c r="AL73" s="18" t="str">
        <f t="shared" si="12"/>
        <v>No. 50</v>
      </c>
      <c r="AM73" s="114" t="str">
        <f t="shared" si="13"/>
        <v/>
      </c>
      <c r="AN73" s="114" t="e">
        <f t="shared" si="13"/>
        <v>#N/A</v>
      </c>
      <c r="AO73" s="114" t="e">
        <f t="shared" si="13"/>
        <v>#N/A</v>
      </c>
      <c r="AP73" s="113" t="e">
        <f t="shared" si="13"/>
        <v>#N/A</v>
      </c>
      <c r="AQ73" s="115">
        <f>AQ67</f>
        <v>1</v>
      </c>
      <c r="AR73" s="23"/>
      <c r="AU73" s="114" t="e">
        <f t="shared" si="16"/>
        <v>#VALUE!</v>
      </c>
      <c r="AV73" s="114" t="str">
        <f t="shared" si="17"/>
        <v/>
      </c>
      <c r="AW73" s="113" t="str">
        <f t="shared" si="17"/>
        <v/>
      </c>
    </row>
    <row r="74" spans="6:49" x14ac:dyDescent="0.25">
      <c r="H74" s="18" t="s">
        <v>141</v>
      </c>
      <c r="T74" s="118">
        <f>H100</f>
        <v>0.75</v>
      </c>
      <c r="U74" s="117">
        <f>$U$73+(T74-$T$73)*($U$76-$U$73)/($T$76-$T$73)</f>
        <v>0.26900000000000002</v>
      </c>
      <c r="W74" s="23" t="s">
        <v>69</v>
      </c>
      <c r="X74" s="116" t="str">
        <f t="shared" si="19"/>
        <v/>
      </c>
      <c r="Y74" s="116">
        <f t="shared" si="19"/>
        <v>0.08</v>
      </c>
      <c r="Z74" s="123">
        <f t="shared" si="19"/>
        <v>0.15</v>
      </c>
      <c r="AD74" s="21" t="s">
        <v>65</v>
      </c>
      <c r="AE74" s="20">
        <v>0</v>
      </c>
      <c r="AF74" s="20">
        <v>0</v>
      </c>
      <c r="AG74" s="20">
        <v>0</v>
      </c>
      <c r="AH74" s="124">
        <f t="shared" si="14"/>
        <v>0</v>
      </c>
      <c r="AI74" s="19" t="e">
        <f t="shared" si="15"/>
        <v>#NUM!</v>
      </c>
      <c r="AK74" s="23">
        <v>14</v>
      </c>
      <c r="AL74" s="18" t="str">
        <f t="shared" si="12"/>
        <v/>
      </c>
      <c r="AM74" s="114" t="e">
        <f t="shared" si="13"/>
        <v>#N/A</v>
      </c>
      <c r="AN74" s="114" t="e">
        <f t="shared" si="13"/>
        <v>#N/A</v>
      </c>
      <c r="AO74" s="114" t="e">
        <f t="shared" si="13"/>
        <v>#N/A</v>
      </c>
      <c r="AP74" s="113" t="e">
        <f t="shared" si="13"/>
        <v>#N/A</v>
      </c>
      <c r="AQ74" s="18" t="e">
        <f>NA()</f>
        <v>#N/A</v>
      </c>
      <c r="AR74" s="23"/>
      <c r="AU74" s="114" t="e">
        <f t="shared" si="16"/>
        <v>#N/A</v>
      </c>
      <c r="AV74" s="114" t="e">
        <f t="shared" si="17"/>
        <v>#N/A</v>
      </c>
      <c r="AW74" s="113" t="e">
        <f t="shared" si="17"/>
        <v>#N/A</v>
      </c>
    </row>
    <row r="75" spans="6:49" x14ac:dyDescent="0.25">
      <c r="H75" s="18" t="s">
        <v>140</v>
      </c>
      <c r="T75" s="118">
        <f>T77</f>
        <v>0.45</v>
      </c>
      <c r="U75" s="117">
        <f>$U$73+(T75-$T$73)*($U$76-$U$73)/($T$76-$T$73)</f>
        <v>0.32300000000000001</v>
      </c>
      <c r="W75" s="23" t="s">
        <v>68</v>
      </c>
      <c r="X75" s="116" t="str">
        <f t="shared" si="19"/>
        <v/>
      </c>
      <c r="Y75" s="116">
        <f t="shared" si="19"/>
        <v>0.08</v>
      </c>
      <c r="Z75" s="123">
        <f t="shared" si="19"/>
        <v>0.15</v>
      </c>
      <c r="AK75" s="23">
        <v>15</v>
      </c>
      <c r="AL75" s="18" t="str">
        <f t="shared" si="12"/>
        <v/>
      </c>
      <c r="AM75" s="114" t="e">
        <f t="shared" si="13"/>
        <v>#N/A</v>
      </c>
      <c r="AN75" s="114" t="e">
        <f t="shared" si="13"/>
        <v>#N/A</v>
      </c>
      <c r="AO75" s="114" t="e">
        <f t="shared" si="13"/>
        <v>#N/A</v>
      </c>
      <c r="AP75" s="113" t="e">
        <f t="shared" si="13"/>
        <v>#N/A</v>
      </c>
      <c r="AQ75" s="18" t="e">
        <f>NA()</f>
        <v>#N/A</v>
      </c>
      <c r="AR75" s="23"/>
      <c r="AU75" s="114" t="e">
        <f t="shared" si="16"/>
        <v>#N/A</v>
      </c>
      <c r="AV75" s="114" t="e">
        <f t="shared" si="17"/>
        <v>#N/A</v>
      </c>
      <c r="AW75" s="113" t="e">
        <f t="shared" si="17"/>
        <v>#N/A</v>
      </c>
    </row>
    <row r="76" spans="6:49" x14ac:dyDescent="0.25">
      <c r="T76" s="118">
        <f>G82</f>
        <v>0.3</v>
      </c>
      <c r="U76" s="117">
        <f>H82</f>
        <v>0.35</v>
      </c>
      <c r="W76" s="23" t="s">
        <v>67</v>
      </c>
      <c r="X76" s="116" t="str">
        <f t="shared" si="19"/>
        <v/>
      </c>
      <c r="Y76" s="116">
        <f t="shared" si="19"/>
        <v>0</v>
      </c>
      <c r="Z76" s="123">
        <f t="shared" si="19"/>
        <v>7.4999999999999997E-2</v>
      </c>
      <c r="AK76" s="23">
        <v>16</v>
      </c>
      <c r="AL76" s="18" t="str">
        <f t="shared" si="12"/>
        <v/>
      </c>
      <c r="AM76" s="114" t="e">
        <f t="shared" si="13"/>
        <v>#N/A</v>
      </c>
      <c r="AN76" s="114" t="e">
        <f t="shared" si="13"/>
        <v>#N/A</v>
      </c>
      <c r="AO76" s="114" t="e">
        <f t="shared" si="13"/>
        <v>#N/A</v>
      </c>
      <c r="AP76" s="113" t="e">
        <f t="shared" si="13"/>
        <v>#N/A</v>
      </c>
      <c r="AQ76" s="18" t="e">
        <f>NA()</f>
        <v>#N/A</v>
      </c>
      <c r="AR76" s="23"/>
      <c r="AU76" s="114" t="e">
        <f t="shared" si="16"/>
        <v>#N/A</v>
      </c>
      <c r="AV76" s="114" t="e">
        <f t="shared" si="17"/>
        <v>#N/A</v>
      </c>
      <c r="AW76" s="113" t="e">
        <f t="shared" si="17"/>
        <v>#N/A</v>
      </c>
    </row>
    <row r="77" spans="6:49" x14ac:dyDescent="0.25">
      <c r="F77" s="65" t="s">
        <v>139</v>
      </c>
      <c r="G77" s="48"/>
      <c r="H77" s="48"/>
      <c r="I77" s="48"/>
      <c r="J77" s="48"/>
      <c r="K77" s="48"/>
      <c r="L77" s="48"/>
      <c r="M77" s="47"/>
      <c r="T77" s="118">
        <f>H101</f>
        <v>0.45</v>
      </c>
      <c r="U77" s="117">
        <f>U75</f>
        <v>0.32300000000000001</v>
      </c>
      <c r="W77" s="21" t="s">
        <v>66</v>
      </c>
      <c r="X77" s="119" t="str">
        <f>'Aggregate Charts'!J29</f>
        <v/>
      </c>
      <c r="Y77" s="119" t="e">
        <f>NA()</f>
        <v>#N/A</v>
      </c>
      <c r="Z77" s="122">
        <v>0</v>
      </c>
      <c r="AK77" s="23">
        <v>17</v>
      </c>
      <c r="AL77" s="18" t="str">
        <f t="shared" si="12"/>
        <v/>
      </c>
      <c r="AM77" s="114" t="e">
        <f t="shared" si="13"/>
        <v>#N/A</v>
      </c>
      <c r="AN77" s="114" t="e">
        <f t="shared" si="13"/>
        <v>#N/A</v>
      </c>
      <c r="AO77" s="114" t="e">
        <f t="shared" si="13"/>
        <v>#N/A</v>
      </c>
      <c r="AP77" s="113" t="e">
        <f t="shared" si="13"/>
        <v>#N/A</v>
      </c>
      <c r="AQ77" s="18" t="e">
        <f>NA()</f>
        <v>#N/A</v>
      </c>
      <c r="AR77" s="23"/>
      <c r="AU77" s="114" t="e">
        <f t="shared" si="16"/>
        <v>#N/A</v>
      </c>
      <c r="AV77" s="114" t="e">
        <f t="shared" si="17"/>
        <v>#N/A</v>
      </c>
      <c r="AW77" s="113" t="e">
        <f t="shared" si="17"/>
        <v>#N/A</v>
      </c>
    </row>
    <row r="78" spans="6:49" x14ac:dyDescent="0.25">
      <c r="F78" s="23" t="s">
        <v>138</v>
      </c>
      <c r="M78" s="22"/>
      <c r="T78" s="118">
        <f>T77</f>
        <v>0.45</v>
      </c>
      <c r="U78" s="117">
        <f>U77+($U$79-$U$73)</f>
        <v>0.443</v>
      </c>
      <c r="W78" s="65" t="s">
        <v>82</v>
      </c>
      <c r="X78" s="48"/>
      <c r="Y78" s="48"/>
      <c r="Z78" s="48">
        <v>0</v>
      </c>
      <c r="AA78" s="47"/>
      <c r="AK78" s="23">
        <v>18</v>
      </c>
      <c r="AL78" s="18" t="str">
        <f t="shared" si="12"/>
        <v>No. 30</v>
      </c>
      <c r="AM78" s="114" t="str">
        <f t="shared" si="13"/>
        <v/>
      </c>
      <c r="AN78" s="114" t="e">
        <f t="shared" si="13"/>
        <v>#N/A</v>
      </c>
      <c r="AO78" s="114" t="e">
        <f t="shared" si="13"/>
        <v>#N/A</v>
      </c>
      <c r="AP78" s="113" t="e">
        <f t="shared" si="13"/>
        <v>#N/A</v>
      </c>
      <c r="AQ78" s="115">
        <f>AQ67</f>
        <v>1</v>
      </c>
      <c r="AR78" s="23"/>
      <c r="AU78" s="114" t="e">
        <f t="shared" si="16"/>
        <v>#VALUE!</v>
      </c>
      <c r="AV78" s="114" t="str">
        <f t="shared" si="17"/>
        <v/>
      </c>
      <c r="AW78" s="113" t="str">
        <f t="shared" si="17"/>
        <v/>
      </c>
    </row>
    <row r="79" spans="6:49" x14ac:dyDescent="0.25">
      <c r="F79" s="23"/>
      <c r="G79" s="18" t="s">
        <v>113</v>
      </c>
      <c r="M79" s="22"/>
      <c r="T79" s="118">
        <f>G90</f>
        <v>0.8</v>
      </c>
      <c r="U79" s="117">
        <f>H90</f>
        <v>0.38</v>
      </c>
      <c r="W79" s="23" t="s">
        <v>78</v>
      </c>
      <c r="X79" s="116" t="str">
        <f>'Aggregate Charts'!J17</f>
        <v/>
      </c>
      <c r="Y79" s="116">
        <v>0</v>
      </c>
      <c r="Z79" s="116">
        <f>IF(Z78&gt;0,Z78,IF(SUM('Aggregate Charts'!$J$17:J17)=0,0,AA79))</f>
        <v>0</v>
      </c>
      <c r="AA79" s="22">
        <v>0</v>
      </c>
      <c r="AK79" s="23">
        <v>19</v>
      </c>
      <c r="AL79" s="18" t="str">
        <f t="shared" si="12"/>
        <v/>
      </c>
      <c r="AM79" s="114" t="e">
        <f t="shared" si="13"/>
        <v>#N/A</v>
      </c>
      <c r="AN79" s="114" t="e">
        <f t="shared" si="13"/>
        <v>#N/A</v>
      </c>
      <c r="AO79" s="114" t="e">
        <f t="shared" si="13"/>
        <v>#N/A</v>
      </c>
      <c r="AP79" s="113" t="e">
        <f t="shared" si="13"/>
        <v>#N/A</v>
      </c>
      <c r="AQ79" s="18" t="e">
        <f>NA()</f>
        <v>#N/A</v>
      </c>
      <c r="AR79" s="23"/>
      <c r="AU79" s="114" t="e">
        <f t="shared" si="16"/>
        <v>#N/A</v>
      </c>
      <c r="AV79" s="114" t="e">
        <f t="shared" si="17"/>
        <v>#N/A</v>
      </c>
      <c r="AW79" s="113" t="e">
        <f t="shared" si="17"/>
        <v>#N/A</v>
      </c>
    </row>
    <row r="80" spans="6:49" x14ac:dyDescent="0.25">
      <c r="F80" s="23"/>
      <c r="G80" s="18" t="s">
        <v>112</v>
      </c>
      <c r="H80" s="18" t="s">
        <v>111</v>
      </c>
      <c r="M80" s="22"/>
      <c r="T80" s="118">
        <f>T74</f>
        <v>0.75</v>
      </c>
      <c r="U80" s="117">
        <f>U74+($U$79-$U$73)</f>
        <v>0.38900000000000001</v>
      </c>
      <c r="W80" s="23" t="s">
        <v>77</v>
      </c>
      <c r="X80" s="116" t="str">
        <f>'Aggregate Charts'!J18</f>
        <v/>
      </c>
      <c r="Y80" s="116">
        <v>0</v>
      </c>
      <c r="Z80" s="116">
        <f>IF(Z79&gt;0,Z79,IF(SUM('Aggregate Charts'!$J$17:J18)=0,0,AA80))</f>
        <v>0</v>
      </c>
      <c r="AA80" s="22">
        <v>0.18</v>
      </c>
      <c r="AK80" s="23">
        <v>20</v>
      </c>
      <c r="AL80" s="18" t="str">
        <f t="shared" si="12"/>
        <v/>
      </c>
      <c r="AM80" s="114" t="e">
        <f t="shared" ref="AM80:AP99" si="20">IF(ISBLANK(VLOOKUP($AK80,$AK$43:$AP$56,AM$59,FALSE)),NA(),VLOOKUP($AK80,$AK$43:$AP$56,AM$59,FALSE))</f>
        <v>#N/A</v>
      </c>
      <c r="AN80" s="114" t="e">
        <f t="shared" si="20"/>
        <v>#N/A</v>
      </c>
      <c r="AO80" s="114" t="e">
        <f t="shared" si="20"/>
        <v>#N/A</v>
      </c>
      <c r="AP80" s="113" t="e">
        <f t="shared" si="20"/>
        <v>#N/A</v>
      </c>
      <c r="AQ80" s="18" t="e">
        <f>NA()</f>
        <v>#N/A</v>
      </c>
      <c r="AR80" s="23"/>
      <c r="AU80" s="114" t="e">
        <f t="shared" si="16"/>
        <v>#N/A</v>
      </c>
      <c r="AV80" s="114" t="e">
        <f t="shared" si="17"/>
        <v>#N/A</v>
      </c>
      <c r="AW80" s="113" t="e">
        <f t="shared" si="17"/>
        <v>#N/A</v>
      </c>
    </row>
    <row r="81" spans="6:49" x14ac:dyDescent="0.25">
      <c r="F81" s="23"/>
      <c r="G81" s="115">
        <v>0.8</v>
      </c>
      <c r="H81" s="115">
        <v>0.26</v>
      </c>
      <c r="M81" s="22"/>
      <c r="T81" s="118">
        <f>T80</f>
        <v>0.75</v>
      </c>
      <c r="U81" s="117">
        <f>U74</f>
        <v>0.26900000000000002</v>
      </c>
      <c r="W81" s="23" t="s">
        <v>76</v>
      </c>
      <c r="X81" s="116" t="str">
        <f>'Aggregate Charts'!J19</f>
        <v/>
      </c>
      <c r="Y81" s="116">
        <v>0</v>
      </c>
      <c r="Z81" s="116">
        <f>IF(Z80&gt;0,Z80,IF(SUM('Aggregate Charts'!$J$17:J19)=0,0,AA81))</f>
        <v>0</v>
      </c>
      <c r="AA81" s="22">
        <v>0.18</v>
      </c>
      <c r="AK81" s="23">
        <v>21</v>
      </c>
      <c r="AL81" s="18" t="str">
        <f t="shared" si="12"/>
        <v/>
      </c>
      <c r="AM81" s="114" t="e">
        <f t="shared" si="20"/>
        <v>#N/A</v>
      </c>
      <c r="AN81" s="114" t="e">
        <f t="shared" si="20"/>
        <v>#N/A</v>
      </c>
      <c r="AO81" s="114" t="e">
        <f t="shared" si="20"/>
        <v>#N/A</v>
      </c>
      <c r="AP81" s="113" t="e">
        <f t="shared" si="20"/>
        <v>#N/A</v>
      </c>
      <c r="AQ81" s="18" t="e">
        <f>NA()</f>
        <v>#N/A</v>
      </c>
      <c r="AR81" s="23"/>
      <c r="AU81" s="114" t="e">
        <f t="shared" si="16"/>
        <v>#N/A</v>
      </c>
      <c r="AV81" s="114" t="e">
        <f t="shared" ref="AV81:AW100" si="21">IF(ISBLANK(VLOOKUP($AK81,$AK$43:$AW$56,AV$59,FALSE)),NA(),VLOOKUP($AK81,$AK$43:$AW$56,AV$59,FALSE))</f>
        <v>#N/A</v>
      </c>
      <c r="AW81" s="113" t="e">
        <f t="shared" si="21"/>
        <v>#N/A</v>
      </c>
    </row>
    <row r="82" spans="6:49" x14ac:dyDescent="0.25">
      <c r="F82" s="23"/>
      <c r="G82" s="115">
        <v>0.3</v>
      </c>
      <c r="H82" s="115">
        <v>0.35</v>
      </c>
      <c r="M82" s="22"/>
      <c r="T82" s="118">
        <f>T81</f>
        <v>0.75</v>
      </c>
      <c r="U82" s="117">
        <f>U80</f>
        <v>0.38900000000000001</v>
      </c>
      <c r="W82" s="23" t="s">
        <v>75</v>
      </c>
      <c r="X82" s="116" t="str">
        <f>'Aggregate Charts'!J20</f>
        <v/>
      </c>
      <c r="Y82" s="116">
        <v>0</v>
      </c>
      <c r="Z82" s="116">
        <f>IF(Z81&gt;0,Z81,IF(SUM('Aggregate Charts'!$J$17:J20)=0,0,AA82))</f>
        <v>0</v>
      </c>
      <c r="AA82" s="22">
        <v>0.2</v>
      </c>
      <c r="AK82" s="23">
        <v>22</v>
      </c>
      <c r="AL82" s="18" t="str">
        <f t="shared" si="12"/>
        <v/>
      </c>
      <c r="AM82" s="114" t="e">
        <f t="shared" si="20"/>
        <v>#N/A</v>
      </c>
      <c r="AN82" s="114" t="e">
        <f t="shared" si="20"/>
        <v>#N/A</v>
      </c>
      <c r="AO82" s="114" t="e">
        <f t="shared" si="20"/>
        <v>#N/A</v>
      </c>
      <c r="AP82" s="113" t="e">
        <f t="shared" si="20"/>
        <v>#N/A</v>
      </c>
      <c r="AQ82" s="18" t="e">
        <f>NA()</f>
        <v>#N/A</v>
      </c>
      <c r="AR82" s="23"/>
      <c r="AU82" s="114" t="e">
        <f t="shared" si="16"/>
        <v>#N/A</v>
      </c>
      <c r="AV82" s="114" t="e">
        <f t="shared" si="21"/>
        <v>#N/A</v>
      </c>
      <c r="AW82" s="113" t="e">
        <f t="shared" si="21"/>
        <v>#N/A</v>
      </c>
    </row>
    <row r="83" spans="6:49" x14ac:dyDescent="0.25">
      <c r="F83" s="23"/>
      <c r="G83" s="18" t="s">
        <v>110</v>
      </c>
      <c r="M83" s="22"/>
      <c r="T83" s="118">
        <f>T78</f>
        <v>0.45</v>
      </c>
      <c r="U83" s="117">
        <f>U78</f>
        <v>0.443</v>
      </c>
      <c r="W83" s="23" t="s">
        <v>74</v>
      </c>
      <c r="X83" s="116" t="str">
        <f>'Aggregate Charts'!J21</f>
        <v/>
      </c>
      <c r="Y83" s="116">
        <v>0.08</v>
      </c>
      <c r="Z83" s="116">
        <f>IF(Z82&gt;0,Z82,IF(SUM('Aggregate Charts'!$J$17:J21)=0,0,AA83))</f>
        <v>0</v>
      </c>
      <c r="AA83" s="22">
        <f>AA82</f>
        <v>0.2</v>
      </c>
      <c r="AK83" s="23">
        <v>23</v>
      </c>
      <c r="AL83" s="18" t="str">
        <f t="shared" si="12"/>
        <v/>
      </c>
      <c r="AM83" s="114" t="e">
        <f t="shared" si="20"/>
        <v>#N/A</v>
      </c>
      <c r="AN83" s="114" t="e">
        <f t="shared" si="20"/>
        <v>#N/A</v>
      </c>
      <c r="AO83" s="114" t="e">
        <f t="shared" si="20"/>
        <v>#N/A</v>
      </c>
      <c r="AP83" s="113" t="e">
        <f t="shared" si="20"/>
        <v>#N/A</v>
      </c>
      <c r="AQ83" s="18" t="e">
        <f>NA()</f>
        <v>#N/A</v>
      </c>
      <c r="AR83" s="23"/>
      <c r="AU83" s="114" t="e">
        <f t="shared" si="16"/>
        <v>#N/A</v>
      </c>
      <c r="AV83" s="114" t="e">
        <f t="shared" si="21"/>
        <v>#N/A</v>
      </c>
      <c r="AW83" s="113" t="e">
        <f t="shared" si="21"/>
        <v>#N/A</v>
      </c>
    </row>
    <row r="84" spans="6:49" x14ac:dyDescent="0.25">
      <c r="F84" s="23"/>
      <c r="G84" s="18" t="s">
        <v>109</v>
      </c>
      <c r="H84" s="18" t="s">
        <v>108</v>
      </c>
      <c r="I84" s="18" t="s">
        <v>107</v>
      </c>
      <c r="M84" s="22"/>
      <c r="T84" s="120">
        <f>G91</f>
        <v>0.3</v>
      </c>
      <c r="U84" s="121">
        <f>H91</f>
        <v>0.47</v>
      </c>
      <c r="W84" s="23" t="s">
        <v>73</v>
      </c>
      <c r="X84" s="116" t="str">
        <f>'Aggregate Charts'!J22</f>
        <v/>
      </c>
      <c r="Y84" s="116">
        <v>0.08</v>
      </c>
      <c r="Z84" s="116">
        <f>IF(Z83&gt;0,Z83,IF(SUM('Aggregate Charts'!$J$17:J22)=0,0,AA84))</f>
        <v>0</v>
      </c>
      <c r="AA84" s="22">
        <f>AA83</f>
        <v>0.2</v>
      </c>
      <c r="AK84" s="23">
        <v>24</v>
      </c>
      <c r="AL84" s="18" t="str">
        <f t="shared" si="12"/>
        <v>No. 16</v>
      </c>
      <c r="AM84" s="114" t="str">
        <f t="shared" si="20"/>
        <v/>
      </c>
      <c r="AN84" s="114" t="e">
        <f t="shared" si="20"/>
        <v>#N/A</v>
      </c>
      <c r="AO84" s="114" t="e">
        <f t="shared" si="20"/>
        <v>#N/A</v>
      </c>
      <c r="AP84" s="113" t="e">
        <f t="shared" si="20"/>
        <v>#N/A</v>
      </c>
      <c r="AQ84" s="115">
        <f>AQ67</f>
        <v>1</v>
      </c>
      <c r="AR84" s="23"/>
      <c r="AU84" s="114" t="e">
        <f t="shared" si="16"/>
        <v>#VALUE!</v>
      </c>
      <c r="AV84" s="114" t="str">
        <f t="shared" si="21"/>
        <v/>
      </c>
      <c r="AW84" s="113" t="str">
        <f t="shared" si="21"/>
        <v/>
      </c>
    </row>
    <row r="85" spans="6:49" x14ac:dyDescent="0.25">
      <c r="F85" s="23"/>
      <c r="G85" s="116" t="e">
        <f>J58</f>
        <v>#VALUE!</v>
      </c>
      <c r="H85" s="35" t="e">
        <f>G85*SLOPE(H81:H82,G81:G82)+INTERCEPT(H81:H82,G81:G82)</f>
        <v>#VALUE!</v>
      </c>
      <c r="I85" s="116" t="e">
        <f>J61</f>
        <v>#VALUE!</v>
      </c>
      <c r="M85" s="22"/>
      <c r="T85" s="65" t="s">
        <v>137</v>
      </c>
      <c r="U85" s="47"/>
      <c r="W85" s="23" t="s">
        <v>72</v>
      </c>
      <c r="X85" s="116" t="str">
        <f>'Aggregate Charts'!J23</f>
        <v/>
      </c>
      <c r="Y85" s="116">
        <v>0.08</v>
      </c>
      <c r="Z85" s="116">
        <f>IF(Z84&gt;0,Z84,IF(SUM('Aggregate Charts'!$J$17:J23)=0,0,AA85))</f>
        <v>0</v>
      </c>
      <c r="AA85" s="22">
        <f>AA84</f>
        <v>0.2</v>
      </c>
      <c r="AK85" s="23">
        <v>25</v>
      </c>
      <c r="AL85" s="18" t="str">
        <f t="shared" si="12"/>
        <v/>
      </c>
      <c r="AM85" s="114" t="e">
        <f t="shared" si="20"/>
        <v>#N/A</v>
      </c>
      <c r="AN85" s="114" t="e">
        <f t="shared" si="20"/>
        <v>#N/A</v>
      </c>
      <c r="AO85" s="114" t="e">
        <f t="shared" si="20"/>
        <v>#N/A</v>
      </c>
      <c r="AP85" s="113" t="e">
        <f t="shared" si="20"/>
        <v>#N/A</v>
      </c>
      <c r="AQ85" s="18" t="e">
        <f>NA()</f>
        <v>#N/A</v>
      </c>
      <c r="AR85" s="23"/>
      <c r="AU85" s="114" t="e">
        <f t="shared" si="16"/>
        <v>#N/A</v>
      </c>
      <c r="AV85" s="114" t="e">
        <f t="shared" si="21"/>
        <v>#N/A</v>
      </c>
      <c r="AW85" s="113" t="e">
        <f t="shared" si="21"/>
        <v>#N/A</v>
      </c>
    </row>
    <row r="86" spans="6:49" x14ac:dyDescent="0.25">
      <c r="F86" s="23"/>
      <c r="I86" s="18" t="s">
        <v>136</v>
      </c>
      <c r="J86" s="18" t="e">
        <f>IF(I85&lt;=H85,TRUE,FALSE)</f>
        <v>#VALUE!</v>
      </c>
      <c r="M86" s="22"/>
      <c r="T86" s="118">
        <f>T80</f>
        <v>0.75</v>
      </c>
      <c r="U86" s="22">
        <f>U81+1/3*(U80-U81)*U90</f>
        <v>0.30499999999999999</v>
      </c>
      <c r="W86" s="23" t="s">
        <v>71</v>
      </c>
      <c r="X86" s="116" t="str">
        <f>'Aggregate Charts'!J24</f>
        <v/>
      </c>
      <c r="Y86" s="116">
        <v>0.08</v>
      </c>
      <c r="Z86" s="116">
        <f>IF(Z85&gt;0,Z85,IF(SUM('Aggregate Charts'!$J$17:J24)=0,0,AA86))</f>
        <v>0</v>
      </c>
      <c r="AA86" s="22">
        <f>AA85</f>
        <v>0.2</v>
      </c>
      <c r="AK86" s="23">
        <v>26</v>
      </c>
      <c r="AL86" s="18" t="str">
        <f t="shared" si="12"/>
        <v/>
      </c>
      <c r="AM86" s="114" t="e">
        <f t="shared" si="20"/>
        <v>#N/A</v>
      </c>
      <c r="AN86" s="114" t="e">
        <f t="shared" si="20"/>
        <v>#N/A</v>
      </c>
      <c r="AO86" s="114" t="e">
        <f t="shared" si="20"/>
        <v>#N/A</v>
      </c>
      <c r="AP86" s="113" t="e">
        <f t="shared" si="20"/>
        <v>#N/A</v>
      </c>
      <c r="AQ86" s="18" t="e">
        <f>NA()</f>
        <v>#N/A</v>
      </c>
      <c r="AR86" s="23"/>
      <c r="AU86" s="114" t="e">
        <f t="shared" si="16"/>
        <v>#N/A</v>
      </c>
      <c r="AV86" s="114" t="e">
        <f t="shared" si="21"/>
        <v>#N/A</v>
      </c>
      <c r="AW86" s="113" t="e">
        <f t="shared" si="21"/>
        <v>#N/A</v>
      </c>
    </row>
    <row r="87" spans="6:49" x14ac:dyDescent="0.25">
      <c r="F87" s="23" t="s">
        <v>135</v>
      </c>
      <c r="M87" s="22"/>
      <c r="T87" s="118">
        <f>T77</f>
        <v>0.45</v>
      </c>
      <c r="U87" s="22">
        <f>U77+1/3*(U78-U77)*U90</f>
        <v>0.35899999999999999</v>
      </c>
      <c r="W87" s="23" t="s">
        <v>70</v>
      </c>
      <c r="X87" s="116" t="str">
        <f>'Aggregate Charts'!J25</f>
        <v/>
      </c>
      <c r="Y87" s="116">
        <v>0.08</v>
      </c>
      <c r="Z87" s="116">
        <f>IF(Z86&gt;0,Z86,IF(SUM('Aggregate Charts'!$J$17:J25)=0,0,AA87))</f>
        <v>0</v>
      </c>
      <c r="AA87" s="22">
        <f>AA86</f>
        <v>0.2</v>
      </c>
      <c r="AK87" s="23">
        <v>27</v>
      </c>
      <c r="AL87" s="18" t="str">
        <f t="shared" si="12"/>
        <v/>
      </c>
      <c r="AM87" s="114" t="e">
        <f t="shared" si="20"/>
        <v>#N/A</v>
      </c>
      <c r="AN87" s="114" t="e">
        <f t="shared" si="20"/>
        <v>#N/A</v>
      </c>
      <c r="AO87" s="114" t="e">
        <f t="shared" si="20"/>
        <v>#N/A</v>
      </c>
      <c r="AP87" s="113" t="e">
        <f t="shared" si="20"/>
        <v>#N/A</v>
      </c>
      <c r="AQ87" s="18" t="e">
        <f>NA()</f>
        <v>#N/A</v>
      </c>
      <c r="AR87" s="23"/>
      <c r="AU87" s="114" t="e">
        <f t="shared" si="16"/>
        <v>#N/A</v>
      </c>
      <c r="AV87" s="114" t="e">
        <f t="shared" si="21"/>
        <v>#N/A</v>
      </c>
      <c r="AW87" s="113" t="e">
        <f t="shared" si="21"/>
        <v>#N/A</v>
      </c>
    </row>
    <row r="88" spans="6:49" x14ac:dyDescent="0.25">
      <c r="F88" s="23"/>
      <c r="G88" s="18" t="s">
        <v>113</v>
      </c>
      <c r="M88" s="22"/>
      <c r="T88" s="118">
        <f>T87</f>
        <v>0.45</v>
      </c>
      <c r="U88" s="22">
        <f>U77+2/3*(U78-U77)*U90</f>
        <v>0.39500000000000002</v>
      </c>
      <c r="W88" s="23" t="s">
        <v>69</v>
      </c>
      <c r="X88" s="116" t="str">
        <f>'Aggregate Charts'!J26</f>
        <v/>
      </c>
      <c r="Y88" s="116">
        <v>0.08</v>
      </c>
      <c r="Z88" s="116">
        <v>0.15</v>
      </c>
      <c r="AA88" s="22"/>
      <c r="AK88" s="23">
        <v>28</v>
      </c>
      <c r="AL88" s="18" t="str">
        <f t="shared" si="12"/>
        <v/>
      </c>
      <c r="AM88" s="114" t="e">
        <f t="shared" si="20"/>
        <v>#N/A</v>
      </c>
      <c r="AN88" s="114" t="e">
        <f t="shared" si="20"/>
        <v>#N/A</v>
      </c>
      <c r="AO88" s="114" t="e">
        <f t="shared" si="20"/>
        <v>#N/A</v>
      </c>
      <c r="AP88" s="113" t="e">
        <f t="shared" si="20"/>
        <v>#N/A</v>
      </c>
      <c r="AQ88" s="18" t="e">
        <f>NA()</f>
        <v>#N/A</v>
      </c>
      <c r="AR88" s="23"/>
      <c r="AU88" s="114" t="e">
        <f t="shared" si="16"/>
        <v>#N/A</v>
      </c>
      <c r="AV88" s="114" t="e">
        <f t="shared" si="21"/>
        <v>#N/A</v>
      </c>
      <c r="AW88" s="113" t="e">
        <f t="shared" si="21"/>
        <v>#N/A</v>
      </c>
    </row>
    <row r="89" spans="6:49" x14ac:dyDescent="0.25">
      <c r="F89" s="23"/>
      <c r="G89" s="18" t="s">
        <v>112</v>
      </c>
      <c r="H89" s="18" t="s">
        <v>111</v>
      </c>
      <c r="M89" s="22"/>
      <c r="T89" s="120">
        <f>T86</f>
        <v>0.75</v>
      </c>
      <c r="U89" s="19">
        <f>U81+2/3*(U80-U81)*U90</f>
        <v>0.34100000000000003</v>
      </c>
      <c r="W89" s="23" t="s">
        <v>68</v>
      </c>
      <c r="X89" s="116" t="str">
        <f>'Aggregate Charts'!J27</f>
        <v/>
      </c>
      <c r="Y89" s="116">
        <v>0.08</v>
      </c>
      <c r="Z89" s="116">
        <v>0.15</v>
      </c>
      <c r="AA89" s="22"/>
      <c r="AK89" s="23">
        <v>29</v>
      </c>
      <c r="AL89" s="18" t="str">
        <f t="shared" si="12"/>
        <v/>
      </c>
      <c r="AM89" s="114" t="e">
        <f t="shared" si="20"/>
        <v>#N/A</v>
      </c>
      <c r="AN89" s="114" t="e">
        <f t="shared" si="20"/>
        <v>#N/A</v>
      </c>
      <c r="AO89" s="114" t="e">
        <f t="shared" si="20"/>
        <v>#N/A</v>
      </c>
      <c r="AP89" s="113" t="e">
        <f t="shared" si="20"/>
        <v>#N/A</v>
      </c>
      <c r="AQ89" s="18" t="e">
        <f>NA()</f>
        <v>#N/A</v>
      </c>
      <c r="AR89" s="23"/>
      <c r="AU89" s="114" t="e">
        <f t="shared" si="16"/>
        <v>#N/A</v>
      </c>
      <c r="AV89" s="114" t="e">
        <f t="shared" si="21"/>
        <v>#N/A</v>
      </c>
      <c r="AW89" s="113" t="e">
        <f t="shared" si="21"/>
        <v>#N/A</v>
      </c>
    </row>
    <row r="90" spans="6:49" x14ac:dyDescent="0.25">
      <c r="F90" s="23"/>
      <c r="G90" s="115">
        <v>0.8</v>
      </c>
      <c r="H90" s="115">
        <v>0.38</v>
      </c>
      <c r="M90" s="22"/>
      <c r="T90" s="99" t="s">
        <v>134</v>
      </c>
      <c r="U90" s="97">
        <v>0.9</v>
      </c>
      <c r="W90" s="23" t="s">
        <v>67</v>
      </c>
      <c r="X90" s="116" t="str">
        <f>'Aggregate Charts'!J28</f>
        <v/>
      </c>
      <c r="Y90" s="116">
        <v>0</v>
      </c>
      <c r="Z90" s="116">
        <v>7.4999999999999997E-2</v>
      </c>
      <c r="AA90" s="22"/>
      <c r="AK90" s="23">
        <v>30</v>
      </c>
      <c r="AL90" s="18" t="str">
        <f t="shared" si="12"/>
        <v/>
      </c>
      <c r="AM90" s="114" t="e">
        <f t="shared" si="20"/>
        <v>#N/A</v>
      </c>
      <c r="AN90" s="114" t="e">
        <f t="shared" si="20"/>
        <v>#N/A</v>
      </c>
      <c r="AO90" s="114" t="e">
        <f t="shared" si="20"/>
        <v>#N/A</v>
      </c>
      <c r="AP90" s="113" t="e">
        <f t="shared" si="20"/>
        <v>#N/A</v>
      </c>
      <c r="AQ90" s="18" t="e">
        <f>NA()</f>
        <v>#N/A</v>
      </c>
      <c r="AR90" s="23"/>
      <c r="AU90" s="114" t="e">
        <f t="shared" si="16"/>
        <v>#N/A</v>
      </c>
      <c r="AV90" s="114" t="e">
        <f t="shared" si="21"/>
        <v>#N/A</v>
      </c>
      <c r="AW90" s="113" t="e">
        <f t="shared" si="21"/>
        <v>#N/A</v>
      </c>
    </row>
    <row r="91" spans="6:49" x14ac:dyDescent="0.25">
      <c r="F91" s="23"/>
      <c r="G91" s="115">
        <v>0.3</v>
      </c>
      <c r="H91" s="115">
        <v>0.47</v>
      </c>
      <c r="M91" s="22"/>
      <c r="W91" s="21" t="s">
        <v>66</v>
      </c>
      <c r="X91" s="119" t="str">
        <f>'Aggregate Charts'!J29</f>
        <v/>
      </c>
      <c r="Y91" s="119">
        <v>0</v>
      </c>
      <c r="Z91" s="119">
        <v>0</v>
      </c>
      <c r="AA91" s="19"/>
      <c r="AK91" s="23">
        <v>31</v>
      </c>
      <c r="AL91" s="18" t="str">
        <f t="shared" si="12"/>
        <v/>
      </c>
      <c r="AM91" s="114" t="e">
        <f t="shared" si="20"/>
        <v>#N/A</v>
      </c>
      <c r="AN91" s="114" t="e">
        <f t="shared" si="20"/>
        <v>#N/A</v>
      </c>
      <c r="AO91" s="114" t="e">
        <f t="shared" si="20"/>
        <v>#N/A</v>
      </c>
      <c r="AP91" s="113" t="e">
        <f t="shared" si="20"/>
        <v>#N/A</v>
      </c>
      <c r="AQ91" s="18" t="e">
        <f>NA()</f>
        <v>#N/A</v>
      </c>
      <c r="AR91" s="23"/>
      <c r="AU91" s="114" t="e">
        <f t="shared" si="16"/>
        <v>#N/A</v>
      </c>
      <c r="AV91" s="114" t="e">
        <f t="shared" si="21"/>
        <v>#N/A</v>
      </c>
      <c r="AW91" s="113" t="e">
        <f t="shared" si="21"/>
        <v>#N/A</v>
      </c>
    </row>
    <row r="92" spans="6:49" x14ac:dyDescent="0.25">
      <c r="F92" s="23"/>
      <c r="G92" s="18" t="s">
        <v>110</v>
      </c>
      <c r="M92" s="22"/>
      <c r="AK92" s="23">
        <v>32</v>
      </c>
      <c r="AL92" s="18" t="str">
        <f t="shared" ref="AL92:AL123" si="22">IF(ISNA(VLOOKUP($AK92,$AK$43:$AP$56,AL$59,FALSE)),"",VLOOKUP($AK92,$AK$43:$AP$56,AL$59,FALSE))</f>
        <v/>
      </c>
      <c r="AM92" s="114" t="e">
        <f t="shared" si="20"/>
        <v>#N/A</v>
      </c>
      <c r="AN92" s="114" t="e">
        <f t="shared" si="20"/>
        <v>#N/A</v>
      </c>
      <c r="AO92" s="114" t="e">
        <f t="shared" si="20"/>
        <v>#N/A</v>
      </c>
      <c r="AP92" s="113" t="e">
        <f t="shared" si="20"/>
        <v>#N/A</v>
      </c>
      <c r="AQ92" s="18" t="e">
        <f>NA()</f>
        <v>#N/A</v>
      </c>
      <c r="AR92" s="23"/>
      <c r="AU92" s="114" t="e">
        <f t="shared" si="16"/>
        <v>#N/A</v>
      </c>
      <c r="AV92" s="114" t="e">
        <f t="shared" si="21"/>
        <v>#N/A</v>
      </c>
      <c r="AW92" s="113" t="e">
        <f t="shared" si="21"/>
        <v>#N/A</v>
      </c>
    </row>
    <row r="93" spans="6:49" x14ac:dyDescent="0.25">
      <c r="F93" s="23"/>
      <c r="G93" s="18" t="s">
        <v>109</v>
      </c>
      <c r="H93" s="18" t="s">
        <v>108</v>
      </c>
      <c r="I93" s="18" t="s">
        <v>107</v>
      </c>
      <c r="M93" s="22"/>
      <c r="AK93" s="23">
        <v>33</v>
      </c>
      <c r="AL93" s="18" t="str">
        <f t="shared" si="22"/>
        <v>No. 8</v>
      </c>
      <c r="AM93" s="114" t="str">
        <f t="shared" si="20"/>
        <v/>
      </c>
      <c r="AN93" s="114" t="e">
        <f t="shared" si="20"/>
        <v>#N/A</v>
      </c>
      <c r="AO93" s="114" t="e">
        <f t="shared" si="20"/>
        <v>#N/A</v>
      </c>
      <c r="AP93" s="113" t="e">
        <f t="shared" si="20"/>
        <v>#N/A</v>
      </c>
      <c r="AQ93" s="115">
        <f>AQ67</f>
        <v>1</v>
      </c>
      <c r="AR93" s="23"/>
      <c r="AU93" s="114" t="e">
        <f t="shared" ref="AU93:AU124" si="23">IF(ISBLANK(VLOOKUP($AK93,$AK$43:$AU$56,AU$59,FALSE)),NA(),VLOOKUP($AK93,$AK$43:$AU$56,AU$59,FALSE))</f>
        <v>#VALUE!</v>
      </c>
      <c r="AV93" s="114" t="str">
        <f t="shared" si="21"/>
        <v/>
      </c>
      <c r="AW93" s="113" t="str">
        <f t="shared" si="21"/>
        <v/>
      </c>
    </row>
    <row r="94" spans="6:49" x14ac:dyDescent="0.25">
      <c r="F94" s="23"/>
      <c r="G94" s="116" t="e">
        <f>G85</f>
        <v>#VALUE!</v>
      </c>
      <c r="H94" s="35" t="e">
        <f>G94*SLOPE(H90:H91,G90:G91)+INTERCEPT(H90:H91,G90:G91)</f>
        <v>#VALUE!</v>
      </c>
      <c r="I94" s="116" t="e">
        <f>I85</f>
        <v>#VALUE!</v>
      </c>
      <c r="M94" s="22"/>
      <c r="AK94" s="23">
        <v>34</v>
      </c>
      <c r="AL94" s="18" t="str">
        <f t="shared" si="22"/>
        <v/>
      </c>
      <c r="AM94" s="114" t="e">
        <f t="shared" si="20"/>
        <v>#N/A</v>
      </c>
      <c r="AN94" s="114" t="e">
        <f t="shared" si="20"/>
        <v>#N/A</v>
      </c>
      <c r="AO94" s="114" t="e">
        <f t="shared" si="20"/>
        <v>#N/A</v>
      </c>
      <c r="AP94" s="113" t="e">
        <f t="shared" si="20"/>
        <v>#N/A</v>
      </c>
      <c r="AQ94" s="18" t="e">
        <f>NA()</f>
        <v>#N/A</v>
      </c>
      <c r="AR94" s="23"/>
      <c r="AU94" s="114" t="e">
        <f t="shared" si="23"/>
        <v>#N/A</v>
      </c>
      <c r="AV94" s="114" t="e">
        <f t="shared" si="21"/>
        <v>#N/A</v>
      </c>
      <c r="AW94" s="113" t="e">
        <f t="shared" si="21"/>
        <v>#N/A</v>
      </c>
    </row>
    <row r="95" spans="6:49" x14ac:dyDescent="0.25">
      <c r="F95" s="23"/>
      <c r="I95" s="18" t="s">
        <v>133</v>
      </c>
      <c r="J95" s="18" t="e">
        <f>IF(I94&gt;=H94,TRUE,FALSE)</f>
        <v>#VALUE!</v>
      </c>
      <c r="M95" s="22"/>
      <c r="AK95" s="23">
        <v>35</v>
      </c>
      <c r="AL95" s="18" t="str">
        <f t="shared" si="22"/>
        <v/>
      </c>
      <c r="AM95" s="114" t="e">
        <f t="shared" si="20"/>
        <v>#N/A</v>
      </c>
      <c r="AN95" s="114" t="e">
        <f t="shared" si="20"/>
        <v>#N/A</v>
      </c>
      <c r="AO95" s="114" t="e">
        <f t="shared" si="20"/>
        <v>#N/A</v>
      </c>
      <c r="AP95" s="113" t="e">
        <f t="shared" si="20"/>
        <v>#N/A</v>
      </c>
      <c r="AQ95" s="18" t="e">
        <f>NA()</f>
        <v>#N/A</v>
      </c>
      <c r="AR95" s="23"/>
      <c r="AU95" s="114" t="e">
        <f t="shared" si="23"/>
        <v>#N/A</v>
      </c>
      <c r="AV95" s="114" t="e">
        <f t="shared" si="21"/>
        <v>#N/A</v>
      </c>
      <c r="AW95" s="113" t="e">
        <f t="shared" si="21"/>
        <v>#N/A</v>
      </c>
    </row>
    <row r="96" spans="6:49" x14ac:dyDescent="0.25">
      <c r="F96" s="23" t="s">
        <v>132</v>
      </c>
      <c r="M96" s="22"/>
      <c r="AK96" s="23">
        <v>36</v>
      </c>
      <c r="AL96" s="18" t="str">
        <f t="shared" si="22"/>
        <v/>
      </c>
      <c r="AM96" s="114" t="e">
        <f t="shared" si="20"/>
        <v>#N/A</v>
      </c>
      <c r="AN96" s="114" t="e">
        <f t="shared" si="20"/>
        <v>#N/A</v>
      </c>
      <c r="AO96" s="114" t="e">
        <f t="shared" si="20"/>
        <v>#N/A</v>
      </c>
      <c r="AP96" s="113" t="e">
        <f t="shared" si="20"/>
        <v>#N/A</v>
      </c>
      <c r="AQ96" s="18" t="e">
        <f>NA()</f>
        <v>#N/A</v>
      </c>
      <c r="AR96" s="23"/>
      <c r="AU96" s="114" t="e">
        <f t="shared" si="23"/>
        <v>#N/A</v>
      </c>
      <c r="AV96" s="114" t="e">
        <f t="shared" si="21"/>
        <v>#N/A</v>
      </c>
      <c r="AW96" s="113" t="e">
        <f t="shared" si="21"/>
        <v>#N/A</v>
      </c>
    </row>
    <row r="97" spans="6:49" x14ac:dyDescent="0.25">
      <c r="F97" s="23"/>
      <c r="G97" s="34" t="s">
        <v>131</v>
      </c>
      <c r="H97" s="18" t="e">
        <f>IF(OR(J86,J95),TRUE, FALSE)</f>
        <v>#VALUE!</v>
      </c>
      <c r="M97" s="22"/>
      <c r="AK97" s="23">
        <v>37</v>
      </c>
      <c r="AL97" s="18" t="str">
        <f t="shared" si="22"/>
        <v/>
      </c>
      <c r="AM97" s="114" t="e">
        <f t="shared" si="20"/>
        <v>#N/A</v>
      </c>
      <c r="AN97" s="114" t="e">
        <f t="shared" si="20"/>
        <v>#N/A</v>
      </c>
      <c r="AO97" s="114" t="e">
        <f t="shared" si="20"/>
        <v>#N/A</v>
      </c>
      <c r="AP97" s="113" t="e">
        <f t="shared" si="20"/>
        <v>#N/A</v>
      </c>
      <c r="AQ97" s="18" t="e">
        <f>NA()</f>
        <v>#N/A</v>
      </c>
      <c r="AR97" s="23"/>
      <c r="AU97" s="114" t="e">
        <f t="shared" si="23"/>
        <v>#N/A</v>
      </c>
      <c r="AV97" s="114" t="e">
        <f t="shared" si="21"/>
        <v>#N/A</v>
      </c>
      <c r="AW97" s="113" t="e">
        <f t="shared" si="21"/>
        <v>#N/A</v>
      </c>
    </row>
    <row r="98" spans="6:49" x14ac:dyDescent="0.25">
      <c r="F98" s="23"/>
      <c r="G98" s="34" t="s">
        <v>130</v>
      </c>
      <c r="H98" s="116" t="e">
        <f>G94</f>
        <v>#VALUE!</v>
      </c>
      <c r="M98" s="22"/>
      <c r="AK98" s="23">
        <v>38</v>
      </c>
      <c r="AL98" s="18" t="str">
        <f t="shared" si="22"/>
        <v/>
      </c>
      <c r="AM98" s="114" t="e">
        <f t="shared" si="20"/>
        <v>#N/A</v>
      </c>
      <c r="AN98" s="114" t="e">
        <f t="shared" si="20"/>
        <v>#N/A</v>
      </c>
      <c r="AO98" s="114" t="e">
        <f t="shared" si="20"/>
        <v>#N/A</v>
      </c>
      <c r="AP98" s="113" t="e">
        <f t="shared" si="20"/>
        <v>#N/A</v>
      </c>
      <c r="AQ98" s="18" t="e">
        <f>NA()</f>
        <v>#N/A</v>
      </c>
      <c r="AR98" s="23"/>
      <c r="AU98" s="114" t="e">
        <f t="shared" si="23"/>
        <v>#N/A</v>
      </c>
      <c r="AV98" s="114" t="e">
        <f t="shared" si="21"/>
        <v>#N/A</v>
      </c>
      <c r="AW98" s="113" t="e">
        <f t="shared" si="21"/>
        <v>#N/A</v>
      </c>
    </row>
    <row r="99" spans="6:49" x14ac:dyDescent="0.25">
      <c r="F99" s="23"/>
      <c r="G99" s="18" t="s">
        <v>129</v>
      </c>
      <c r="H99" s="18" t="s">
        <v>128</v>
      </c>
      <c r="M99" s="22"/>
      <c r="AK99" s="23">
        <v>39</v>
      </c>
      <c r="AL99" s="18" t="str">
        <f t="shared" si="22"/>
        <v/>
      </c>
      <c r="AM99" s="114" t="e">
        <f t="shared" si="20"/>
        <v>#N/A</v>
      </c>
      <c r="AN99" s="114" t="e">
        <f t="shared" si="20"/>
        <v>#N/A</v>
      </c>
      <c r="AO99" s="114" t="e">
        <f t="shared" si="20"/>
        <v>#N/A</v>
      </c>
      <c r="AP99" s="113" t="e">
        <f t="shared" si="20"/>
        <v>#N/A</v>
      </c>
      <c r="AQ99" s="18" t="e">
        <f>NA()</f>
        <v>#N/A</v>
      </c>
      <c r="AR99" s="23"/>
      <c r="AU99" s="114" t="e">
        <f t="shared" si="23"/>
        <v>#N/A</v>
      </c>
      <c r="AV99" s="114" t="e">
        <f t="shared" si="21"/>
        <v>#N/A</v>
      </c>
      <c r="AW99" s="113" t="e">
        <f t="shared" si="21"/>
        <v>#N/A</v>
      </c>
    </row>
    <row r="100" spans="6:49" x14ac:dyDescent="0.25">
      <c r="F100" s="23"/>
      <c r="G100" s="18">
        <v>1</v>
      </c>
      <c r="H100" s="115">
        <v>0.75</v>
      </c>
      <c r="I100" s="18" t="e">
        <f>IF(AND(NOT(H97),H98&gt;=H100),TRUE,FALSE)</f>
        <v>#VALUE!</v>
      </c>
      <c r="M100" s="22"/>
      <c r="AK100" s="23">
        <v>40</v>
      </c>
      <c r="AL100" s="18" t="str">
        <f t="shared" si="22"/>
        <v/>
      </c>
      <c r="AM100" s="114" t="e">
        <f t="shared" ref="AM100:AP119" si="24">IF(ISBLANK(VLOOKUP($AK100,$AK$43:$AP$56,AM$59,FALSE)),NA(),VLOOKUP($AK100,$AK$43:$AP$56,AM$59,FALSE))</f>
        <v>#N/A</v>
      </c>
      <c r="AN100" s="114" t="e">
        <f t="shared" si="24"/>
        <v>#N/A</v>
      </c>
      <c r="AO100" s="114" t="e">
        <f t="shared" si="24"/>
        <v>#N/A</v>
      </c>
      <c r="AP100" s="113" t="e">
        <f t="shared" si="24"/>
        <v>#N/A</v>
      </c>
      <c r="AQ100" s="18" t="e">
        <f>NA()</f>
        <v>#N/A</v>
      </c>
      <c r="AR100" s="23"/>
      <c r="AU100" s="114" t="e">
        <f t="shared" si="23"/>
        <v>#N/A</v>
      </c>
      <c r="AV100" s="114" t="e">
        <f t="shared" si="21"/>
        <v>#N/A</v>
      </c>
      <c r="AW100" s="113" t="e">
        <f t="shared" si="21"/>
        <v>#N/A</v>
      </c>
    </row>
    <row r="101" spans="6:49" x14ac:dyDescent="0.25">
      <c r="F101" s="23"/>
      <c r="G101" s="18">
        <v>2</v>
      </c>
      <c r="H101" s="115">
        <v>0.45</v>
      </c>
      <c r="I101" s="18" t="e">
        <f>IF(AND(NOT(H97),H98&gt;=H101,NOT(I100)),TRUE,FALSE)</f>
        <v>#VALUE!</v>
      </c>
      <c r="M101" s="22"/>
      <c r="AK101" s="23">
        <v>41</v>
      </c>
      <c r="AL101" s="18" t="str">
        <f t="shared" si="22"/>
        <v/>
      </c>
      <c r="AM101" s="114" t="e">
        <f t="shared" si="24"/>
        <v>#N/A</v>
      </c>
      <c r="AN101" s="114" t="e">
        <f t="shared" si="24"/>
        <v>#N/A</v>
      </c>
      <c r="AO101" s="114" t="e">
        <f t="shared" si="24"/>
        <v>#N/A</v>
      </c>
      <c r="AP101" s="113" t="e">
        <f t="shared" si="24"/>
        <v>#N/A</v>
      </c>
      <c r="AQ101" s="18" t="e">
        <f>NA()</f>
        <v>#N/A</v>
      </c>
      <c r="AR101" s="23"/>
      <c r="AU101" s="114" t="e">
        <f t="shared" si="23"/>
        <v>#N/A</v>
      </c>
      <c r="AV101" s="114" t="e">
        <f t="shared" ref="AV101:AW120" si="25">IF(ISBLANK(VLOOKUP($AK101,$AK$43:$AW$56,AV$59,FALSE)),NA(),VLOOKUP($AK101,$AK$43:$AW$56,AV$59,FALSE))</f>
        <v>#N/A</v>
      </c>
      <c r="AW101" s="113" t="e">
        <f t="shared" si="25"/>
        <v>#N/A</v>
      </c>
    </row>
    <row r="102" spans="6:49" x14ac:dyDescent="0.25">
      <c r="F102" s="23"/>
      <c r="G102" s="18">
        <v>3</v>
      </c>
      <c r="H102" s="115">
        <v>0</v>
      </c>
      <c r="I102" s="18" t="e">
        <f>IF(AND(NOT(H97),H98&gt;=H102,NOT(I101),NOT(I100)),TRUE,FALSE)</f>
        <v>#VALUE!</v>
      </c>
      <c r="M102" s="22"/>
      <c r="AK102" s="23">
        <v>42</v>
      </c>
      <c r="AL102" s="18" t="str">
        <f t="shared" si="22"/>
        <v/>
      </c>
      <c r="AM102" s="114" t="e">
        <f t="shared" si="24"/>
        <v>#N/A</v>
      </c>
      <c r="AN102" s="114" t="e">
        <f t="shared" si="24"/>
        <v>#N/A</v>
      </c>
      <c r="AO102" s="114" t="e">
        <f t="shared" si="24"/>
        <v>#N/A</v>
      </c>
      <c r="AP102" s="113" t="e">
        <f t="shared" si="24"/>
        <v>#N/A</v>
      </c>
      <c r="AQ102" s="18" t="e">
        <f>NA()</f>
        <v>#N/A</v>
      </c>
      <c r="AR102" s="23"/>
      <c r="AU102" s="114" t="e">
        <f t="shared" si="23"/>
        <v>#N/A</v>
      </c>
      <c r="AV102" s="114" t="e">
        <f t="shared" si="25"/>
        <v>#N/A</v>
      </c>
      <c r="AW102" s="113" t="e">
        <f t="shared" si="25"/>
        <v>#N/A</v>
      </c>
    </row>
    <row r="103" spans="6:49" x14ac:dyDescent="0.25">
      <c r="F103" s="23"/>
      <c r="M103" s="22"/>
      <c r="AK103" s="23">
        <v>43</v>
      </c>
      <c r="AL103" s="18" t="str">
        <f t="shared" si="22"/>
        <v/>
      </c>
      <c r="AM103" s="114" t="e">
        <f t="shared" si="24"/>
        <v>#N/A</v>
      </c>
      <c r="AN103" s="114" t="e">
        <f t="shared" si="24"/>
        <v>#N/A</v>
      </c>
      <c r="AO103" s="114" t="e">
        <f t="shared" si="24"/>
        <v>#N/A</v>
      </c>
      <c r="AP103" s="113" t="e">
        <f t="shared" si="24"/>
        <v>#N/A</v>
      </c>
      <c r="AQ103" s="18" t="e">
        <f>NA()</f>
        <v>#N/A</v>
      </c>
      <c r="AR103" s="23"/>
      <c r="AU103" s="114" t="e">
        <f t="shared" si="23"/>
        <v>#N/A</v>
      </c>
      <c r="AV103" s="114" t="e">
        <f t="shared" si="25"/>
        <v>#N/A</v>
      </c>
      <c r="AW103" s="113" t="e">
        <f t="shared" si="25"/>
        <v>#N/A</v>
      </c>
    </row>
    <row r="104" spans="6:49" x14ac:dyDescent="0.25">
      <c r="F104" s="23" t="e">
        <f>I100</f>
        <v>#VALUE!</v>
      </c>
      <c r="G104" s="18" t="s">
        <v>127</v>
      </c>
      <c r="H104" s="18" t="s">
        <v>126</v>
      </c>
      <c r="I104" s="18" t="str">
        <f>G104&amp;", "&amp;H104</f>
        <v>Zone I , Gap-graded and tends to segregate</v>
      </c>
      <c r="M104" s="22"/>
      <c r="AK104" s="23">
        <v>44</v>
      </c>
      <c r="AL104" s="18" t="str">
        <f t="shared" si="22"/>
        <v/>
      </c>
      <c r="AM104" s="114" t="e">
        <f t="shared" si="24"/>
        <v>#N/A</v>
      </c>
      <c r="AN104" s="114" t="e">
        <f t="shared" si="24"/>
        <v>#N/A</v>
      </c>
      <c r="AO104" s="114" t="e">
        <f t="shared" si="24"/>
        <v>#N/A</v>
      </c>
      <c r="AP104" s="113" t="e">
        <f t="shared" si="24"/>
        <v>#N/A</v>
      </c>
      <c r="AQ104" s="18" t="e">
        <f>NA()</f>
        <v>#N/A</v>
      </c>
      <c r="AR104" s="23"/>
      <c r="AU104" s="114" t="e">
        <f t="shared" si="23"/>
        <v>#N/A</v>
      </c>
      <c r="AV104" s="114" t="e">
        <f t="shared" si="25"/>
        <v>#N/A</v>
      </c>
      <c r="AW104" s="113" t="e">
        <f t="shared" si="25"/>
        <v>#N/A</v>
      </c>
    </row>
    <row r="105" spans="6:49" x14ac:dyDescent="0.25">
      <c r="F105" s="23" t="e">
        <f>I101</f>
        <v>#VALUE!</v>
      </c>
      <c r="G105" s="18" t="s">
        <v>125</v>
      </c>
      <c r="H105" s="18" t="s">
        <v>124</v>
      </c>
      <c r="I105" s="18" t="str">
        <f>G105&amp;", "&amp;H105</f>
        <v>Zone II, Well graded 1-1/2 to 3/4 in.</v>
      </c>
      <c r="M105" s="22"/>
      <c r="AK105" s="23">
        <v>45</v>
      </c>
      <c r="AL105" s="18" t="str">
        <f t="shared" si="22"/>
        <v>No. 4</v>
      </c>
      <c r="AM105" s="114" t="str">
        <f t="shared" si="24"/>
        <v/>
      </c>
      <c r="AN105" s="114" t="e">
        <f t="shared" si="24"/>
        <v>#N/A</v>
      </c>
      <c r="AO105" s="114" t="e">
        <f t="shared" si="24"/>
        <v>#N/A</v>
      </c>
      <c r="AP105" s="113" t="e">
        <f t="shared" si="24"/>
        <v>#N/A</v>
      </c>
      <c r="AQ105" s="115">
        <f>AQ67</f>
        <v>1</v>
      </c>
      <c r="AR105" s="23"/>
      <c r="AU105" s="114" t="e">
        <f t="shared" si="23"/>
        <v>#VALUE!</v>
      </c>
      <c r="AV105" s="114" t="str">
        <f t="shared" si="25"/>
        <v/>
      </c>
      <c r="AW105" s="113" t="str">
        <f t="shared" si="25"/>
        <v/>
      </c>
    </row>
    <row r="106" spans="6:49" x14ac:dyDescent="0.25">
      <c r="F106" s="23" t="e">
        <f>I102</f>
        <v>#VALUE!</v>
      </c>
      <c r="G106" s="18" t="s">
        <v>123</v>
      </c>
      <c r="H106" s="18" t="s">
        <v>122</v>
      </c>
      <c r="I106" s="18" t="str">
        <f>G106&amp;", "&amp;H106</f>
        <v>Zone III, Well Graded 3/4 in. and finer</v>
      </c>
      <c r="M106" s="22"/>
      <c r="AK106" s="23">
        <v>46</v>
      </c>
      <c r="AL106" s="18" t="str">
        <f t="shared" si="22"/>
        <v/>
      </c>
      <c r="AM106" s="114" t="e">
        <f t="shared" si="24"/>
        <v>#N/A</v>
      </c>
      <c r="AN106" s="114" t="e">
        <f t="shared" si="24"/>
        <v>#N/A</v>
      </c>
      <c r="AO106" s="114" t="e">
        <f t="shared" si="24"/>
        <v>#N/A</v>
      </c>
      <c r="AP106" s="113" t="e">
        <f t="shared" si="24"/>
        <v>#N/A</v>
      </c>
      <c r="AQ106" s="18" t="e">
        <f>NA()</f>
        <v>#N/A</v>
      </c>
      <c r="AR106" s="23"/>
      <c r="AU106" s="114" t="e">
        <f t="shared" si="23"/>
        <v>#N/A</v>
      </c>
      <c r="AV106" s="114" t="e">
        <f t="shared" si="25"/>
        <v>#N/A</v>
      </c>
      <c r="AW106" s="113" t="e">
        <f t="shared" si="25"/>
        <v>#N/A</v>
      </c>
    </row>
    <row r="107" spans="6:49" x14ac:dyDescent="0.25">
      <c r="F107" s="23" t="e">
        <f>J95</f>
        <v>#VALUE!</v>
      </c>
      <c r="G107" s="18" t="s">
        <v>121</v>
      </c>
      <c r="H107" s="18" t="s">
        <v>120</v>
      </c>
      <c r="I107" s="18" t="str">
        <f>G107&amp;", "&amp;H107</f>
        <v>Zone IV, Sticky</v>
      </c>
      <c r="M107" s="22"/>
      <c r="AK107" s="23">
        <v>47</v>
      </c>
      <c r="AL107" s="18" t="str">
        <f t="shared" si="22"/>
        <v/>
      </c>
      <c r="AM107" s="114" t="e">
        <f t="shared" si="24"/>
        <v>#N/A</v>
      </c>
      <c r="AN107" s="114" t="e">
        <f t="shared" si="24"/>
        <v>#N/A</v>
      </c>
      <c r="AO107" s="114" t="e">
        <f t="shared" si="24"/>
        <v>#N/A</v>
      </c>
      <c r="AP107" s="113" t="e">
        <f t="shared" si="24"/>
        <v>#N/A</v>
      </c>
      <c r="AQ107" s="18" t="e">
        <f>NA()</f>
        <v>#N/A</v>
      </c>
      <c r="AR107" s="23"/>
      <c r="AU107" s="114" t="e">
        <f t="shared" si="23"/>
        <v>#N/A</v>
      </c>
      <c r="AV107" s="114" t="e">
        <f t="shared" si="25"/>
        <v>#N/A</v>
      </c>
      <c r="AW107" s="113" t="e">
        <f t="shared" si="25"/>
        <v>#N/A</v>
      </c>
    </row>
    <row r="108" spans="6:49" x14ac:dyDescent="0.25">
      <c r="F108" s="23" t="e">
        <f>J86</f>
        <v>#VALUE!</v>
      </c>
      <c r="G108" s="18" t="s">
        <v>119</v>
      </c>
      <c r="H108" s="18" t="s">
        <v>118</v>
      </c>
      <c r="I108" s="18" t="str">
        <f>G108&amp;", "&amp;H108</f>
        <v>Zone V, Rocky</v>
      </c>
      <c r="M108" s="22"/>
      <c r="AK108" s="23">
        <v>48</v>
      </c>
      <c r="AL108" s="18" t="str">
        <f t="shared" si="22"/>
        <v/>
      </c>
      <c r="AM108" s="114" t="e">
        <f t="shared" si="24"/>
        <v>#N/A</v>
      </c>
      <c r="AN108" s="114" t="e">
        <f t="shared" si="24"/>
        <v>#N/A</v>
      </c>
      <c r="AO108" s="114" t="e">
        <f t="shared" si="24"/>
        <v>#N/A</v>
      </c>
      <c r="AP108" s="113" t="e">
        <f t="shared" si="24"/>
        <v>#N/A</v>
      </c>
      <c r="AQ108" s="18" t="e">
        <f>NA()</f>
        <v>#N/A</v>
      </c>
      <c r="AR108" s="23"/>
      <c r="AU108" s="114" t="e">
        <f t="shared" si="23"/>
        <v>#N/A</v>
      </c>
      <c r="AV108" s="114" t="e">
        <f t="shared" si="25"/>
        <v>#N/A</v>
      </c>
      <c r="AW108" s="113" t="e">
        <f t="shared" si="25"/>
        <v>#N/A</v>
      </c>
    </row>
    <row r="109" spans="6:49" x14ac:dyDescent="0.25">
      <c r="F109" s="21" t="e">
        <f>VLOOKUP(TRUE,F104:I108,4,FALSE)</f>
        <v>#N/A</v>
      </c>
      <c r="G109" s="20"/>
      <c r="H109" s="20"/>
      <c r="I109" s="20"/>
      <c r="J109" s="20"/>
      <c r="K109" s="20"/>
      <c r="L109" s="20"/>
      <c r="M109" s="19"/>
      <c r="AK109" s="23">
        <v>49</v>
      </c>
      <c r="AL109" s="18" t="str">
        <f t="shared" si="22"/>
        <v/>
      </c>
      <c r="AM109" s="114" t="e">
        <f t="shared" si="24"/>
        <v>#N/A</v>
      </c>
      <c r="AN109" s="114" t="e">
        <f t="shared" si="24"/>
        <v>#N/A</v>
      </c>
      <c r="AO109" s="114" t="e">
        <f t="shared" si="24"/>
        <v>#N/A</v>
      </c>
      <c r="AP109" s="113" t="e">
        <f t="shared" si="24"/>
        <v>#N/A</v>
      </c>
      <c r="AQ109" s="18" t="e">
        <f>NA()</f>
        <v>#N/A</v>
      </c>
      <c r="AR109" s="23"/>
      <c r="AU109" s="114" t="e">
        <f t="shared" si="23"/>
        <v>#N/A</v>
      </c>
      <c r="AV109" s="114" t="e">
        <f t="shared" si="25"/>
        <v>#N/A</v>
      </c>
      <c r="AW109" s="113" t="e">
        <f t="shared" si="25"/>
        <v>#N/A</v>
      </c>
    </row>
    <row r="110" spans="6:49" x14ac:dyDescent="0.25">
      <c r="F110" s="65" t="s">
        <v>117</v>
      </c>
      <c r="G110" s="48"/>
      <c r="H110" s="48"/>
      <c r="I110" s="48"/>
      <c r="J110" s="48"/>
      <c r="K110" s="48"/>
      <c r="L110" s="48"/>
      <c r="M110" s="47"/>
      <c r="AK110" s="23">
        <v>50</v>
      </c>
      <c r="AL110" s="18" t="str">
        <f t="shared" si="22"/>
        <v/>
      </c>
      <c r="AM110" s="114" t="e">
        <f t="shared" si="24"/>
        <v>#N/A</v>
      </c>
      <c r="AN110" s="114" t="e">
        <f t="shared" si="24"/>
        <v>#N/A</v>
      </c>
      <c r="AO110" s="114" t="e">
        <f t="shared" si="24"/>
        <v>#N/A</v>
      </c>
      <c r="AP110" s="113" t="e">
        <f t="shared" si="24"/>
        <v>#N/A</v>
      </c>
      <c r="AQ110" s="18" t="e">
        <f>NA()</f>
        <v>#N/A</v>
      </c>
      <c r="AR110" s="23"/>
      <c r="AU110" s="114" t="e">
        <f t="shared" si="23"/>
        <v>#N/A</v>
      </c>
      <c r="AV110" s="114" t="e">
        <f t="shared" si="25"/>
        <v>#N/A</v>
      </c>
      <c r="AW110" s="113" t="e">
        <f t="shared" si="25"/>
        <v>#N/A</v>
      </c>
    </row>
    <row r="111" spans="6:49" x14ac:dyDescent="0.25">
      <c r="F111" s="23" t="s">
        <v>116</v>
      </c>
      <c r="M111" s="22"/>
      <c r="AK111" s="23">
        <v>51</v>
      </c>
      <c r="AL111" s="18" t="str">
        <f t="shared" si="22"/>
        <v/>
      </c>
      <c r="AM111" s="114" t="e">
        <f t="shared" si="24"/>
        <v>#N/A</v>
      </c>
      <c r="AN111" s="114" t="e">
        <f t="shared" si="24"/>
        <v>#N/A</v>
      </c>
      <c r="AO111" s="114" t="e">
        <f t="shared" si="24"/>
        <v>#N/A</v>
      </c>
      <c r="AP111" s="113" t="e">
        <f t="shared" si="24"/>
        <v>#N/A</v>
      </c>
      <c r="AQ111" s="18" t="e">
        <f>NA()</f>
        <v>#N/A</v>
      </c>
      <c r="AR111" s="23"/>
      <c r="AU111" s="114" t="e">
        <f t="shared" si="23"/>
        <v>#N/A</v>
      </c>
      <c r="AV111" s="114" t="e">
        <f t="shared" si="25"/>
        <v>#N/A</v>
      </c>
      <c r="AW111" s="113" t="e">
        <f t="shared" si="25"/>
        <v>#N/A</v>
      </c>
    </row>
    <row r="112" spans="6:49" x14ac:dyDescent="0.25">
      <c r="F112" s="23"/>
      <c r="G112" s="18" t="s">
        <v>113</v>
      </c>
      <c r="M112" s="22"/>
      <c r="AK112" s="23">
        <v>52</v>
      </c>
      <c r="AL112" s="18" t="str">
        <f t="shared" si="22"/>
        <v/>
      </c>
      <c r="AM112" s="114" t="e">
        <f t="shared" si="24"/>
        <v>#N/A</v>
      </c>
      <c r="AN112" s="114" t="e">
        <f t="shared" si="24"/>
        <v>#N/A</v>
      </c>
      <c r="AO112" s="114" t="e">
        <f t="shared" si="24"/>
        <v>#N/A</v>
      </c>
      <c r="AP112" s="113" t="e">
        <f t="shared" si="24"/>
        <v>#N/A</v>
      </c>
      <c r="AQ112" s="18" t="e">
        <f>NA()</f>
        <v>#N/A</v>
      </c>
      <c r="AR112" s="23"/>
      <c r="AU112" s="114" t="e">
        <f t="shared" si="23"/>
        <v>#N/A</v>
      </c>
      <c r="AV112" s="114" t="e">
        <f t="shared" si="25"/>
        <v>#N/A</v>
      </c>
      <c r="AW112" s="113" t="e">
        <f t="shared" si="25"/>
        <v>#N/A</v>
      </c>
    </row>
    <row r="113" spans="6:49" x14ac:dyDescent="0.25">
      <c r="F113" s="23"/>
      <c r="G113" s="18" t="s">
        <v>112</v>
      </c>
      <c r="H113" s="18" t="s">
        <v>111</v>
      </c>
      <c r="M113" s="22"/>
      <c r="AK113" s="23">
        <v>53</v>
      </c>
      <c r="AL113" s="18" t="str">
        <f t="shared" si="22"/>
        <v/>
      </c>
      <c r="AM113" s="114" t="e">
        <f t="shared" si="24"/>
        <v>#N/A</v>
      </c>
      <c r="AN113" s="114" t="e">
        <f t="shared" si="24"/>
        <v>#N/A</v>
      </c>
      <c r="AO113" s="114" t="e">
        <f t="shared" si="24"/>
        <v>#N/A</v>
      </c>
      <c r="AP113" s="113" t="e">
        <f t="shared" si="24"/>
        <v>#N/A</v>
      </c>
      <c r="AQ113" s="18" t="e">
        <f>NA()</f>
        <v>#N/A</v>
      </c>
      <c r="AR113" s="23"/>
      <c r="AU113" s="114" t="e">
        <f t="shared" si="23"/>
        <v>#N/A</v>
      </c>
      <c r="AV113" s="114" t="e">
        <f t="shared" si="25"/>
        <v>#N/A</v>
      </c>
      <c r="AW113" s="113" t="e">
        <f t="shared" si="25"/>
        <v>#N/A</v>
      </c>
    </row>
    <row r="114" spans="6:49" x14ac:dyDescent="0.25">
      <c r="F114" s="23"/>
      <c r="G114" s="118">
        <v>0.68</v>
      </c>
      <c r="H114" s="117">
        <v>0.32</v>
      </c>
      <c r="M114" s="22"/>
      <c r="AK114" s="23">
        <v>54</v>
      </c>
      <c r="AL114" s="18" t="str">
        <f t="shared" si="22"/>
        <v/>
      </c>
      <c r="AM114" s="114" t="e">
        <f t="shared" si="24"/>
        <v>#N/A</v>
      </c>
      <c r="AN114" s="114" t="e">
        <f t="shared" si="24"/>
        <v>#N/A</v>
      </c>
      <c r="AO114" s="114" t="e">
        <f t="shared" si="24"/>
        <v>#N/A</v>
      </c>
      <c r="AP114" s="113" t="e">
        <f t="shared" si="24"/>
        <v>#N/A</v>
      </c>
      <c r="AQ114" s="18" t="e">
        <f>NA()</f>
        <v>#N/A</v>
      </c>
      <c r="AR114" s="23"/>
      <c r="AU114" s="114" t="e">
        <f t="shared" si="23"/>
        <v>#N/A</v>
      </c>
      <c r="AV114" s="114" t="e">
        <f t="shared" si="25"/>
        <v>#N/A</v>
      </c>
      <c r="AW114" s="113" t="e">
        <f t="shared" si="25"/>
        <v>#N/A</v>
      </c>
    </row>
    <row r="115" spans="6:49" x14ac:dyDescent="0.25">
      <c r="F115" s="23"/>
      <c r="G115" s="118">
        <v>0.52</v>
      </c>
      <c r="H115" s="117">
        <v>0.34</v>
      </c>
      <c r="M115" s="22"/>
      <c r="AK115" s="23">
        <v>55</v>
      </c>
      <c r="AL115" s="18" t="str">
        <f t="shared" si="22"/>
        <v/>
      </c>
      <c r="AM115" s="114" t="e">
        <f t="shared" si="24"/>
        <v>#N/A</v>
      </c>
      <c r="AN115" s="114" t="e">
        <f t="shared" si="24"/>
        <v>#N/A</v>
      </c>
      <c r="AO115" s="114" t="e">
        <f t="shared" si="24"/>
        <v>#N/A</v>
      </c>
      <c r="AP115" s="113" t="e">
        <f t="shared" si="24"/>
        <v>#N/A</v>
      </c>
      <c r="AQ115" s="18" t="e">
        <f>NA()</f>
        <v>#N/A</v>
      </c>
      <c r="AR115" s="23"/>
      <c r="AU115" s="114" t="e">
        <f t="shared" si="23"/>
        <v>#N/A</v>
      </c>
      <c r="AV115" s="114" t="e">
        <f t="shared" si="25"/>
        <v>#N/A</v>
      </c>
      <c r="AW115" s="113" t="e">
        <f t="shared" si="25"/>
        <v>#N/A</v>
      </c>
    </row>
    <row r="116" spans="6:49" x14ac:dyDescent="0.25">
      <c r="F116" s="23"/>
      <c r="G116" s="18" t="s">
        <v>110</v>
      </c>
      <c r="M116" s="22"/>
      <c r="AK116" s="23">
        <v>56</v>
      </c>
      <c r="AL116" s="18" t="str">
        <f t="shared" si="22"/>
        <v/>
      </c>
      <c r="AM116" s="114" t="e">
        <f t="shared" si="24"/>
        <v>#N/A</v>
      </c>
      <c r="AN116" s="114" t="e">
        <f t="shared" si="24"/>
        <v>#N/A</v>
      </c>
      <c r="AO116" s="114" t="e">
        <f t="shared" si="24"/>
        <v>#N/A</v>
      </c>
      <c r="AP116" s="113" t="e">
        <f t="shared" si="24"/>
        <v>#N/A</v>
      </c>
      <c r="AQ116" s="18" t="e">
        <f>NA()</f>
        <v>#N/A</v>
      </c>
      <c r="AR116" s="23"/>
      <c r="AU116" s="114" t="e">
        <f t="shared" si="23"/>
        <v>#N/A</v>
      </c>
      <c r="AV116" s="114" t="e">
        <f t="shared" si="25"/>
        <v>#N/A</v>
      </c>
      <c r="AW116" s="113" t="e">
        <f t="shared" si="25"/>
        <v>#N/A</v>
      </c>
    </row>
    <row r="117" spans="6:49" x14ac:dyDescent="0.25">
      <c r="F117" s="23"/>
      <c r="G117" s="18" t="s">
        <v>109</v>
      </c>
      <c r="H117" s="18" t="s">
        <v>108</v>
      </c>
      <c r="I117" s="18" t="s">
        <v>107</v>
      </c>
      <c r="M117" s="22"/>
      <c r="AK117" s="23">
        <v>57</v>
      </c>
      <c r="AL117" s="18" t="str">
        <f t="shared" si="22"/>
        <v/>
      </c>
      <c r="AM117" s="114" t="e">
        <f t="shared" si="24"/>
        <v>#N/A</v>
      </c>
      <c r="AN117" s="114" t="e">
        <f t="shared" si="24"/>
        <v>#N/A</v>
      </c>
      <c r="AO117" s="114" t="e">
        <f t="shared" si="24"/>
        <v>#N/A</v>
      </c>
      <c r="AP117" s="113" t="e">
        <f t="shared" si="24"/>
        <v>#N/A</v>
      </c>
      <c r="AQ117" s="18" t="e">
        <f>NA()</f>
        <v>#N/A</v>
      </c>
      <c r="AR117" s="23"/>
      <c r="AU117" s="114" t="e">
        <f t="shared" si="23"/>
        <v>#N/A</v>
      </c>
      <c r="AV117" s="114" t="e">
        <f t="shared" si="25"/>
        <v>#N/A</v>
      </c>
      <c r="AW117" s="113" t="e">
        <f t="shared" si="25"/>
        <v>#N/A</v>
      </c>
    </row>
    <row r="118" spans="6:49" x14ac:dyDescent="0.25">
      <c r="F118" s="23"/>
      <c r="G118" s="116" t="e">
        <f>J58</f>
        <v>#VALUE!</v>
      </c>
      <c r="H118" s="35" t="e">
        <f>G118*SLOPE(H114:H115,G114:G115)+INTERCEPT(H114:H115,G114:G115)</f>
        <v>#VALUE!</v>
      </c>
      <c r="I118" s="116" t="e">
        <f>J61</f>
        <v>#VALUE!</v>
      </c>
      <c r="M118" s="22"/>
      <c r="AK118" s="23">
        <v>58</v>
      </c>
      <c r="AL118" s="18" t="str">
        <f t="shared" si="22"/>
        <v/>
      </c>
      <c r="AM118" s="114" t="e">
        <f t="shared" si="24"/>
        <v>#N/A</v>
      </c>
      <c r="AN118" s="114" t="e">
        <f t="shared" si="24"/>
        <v>#N/A</v>
      </c>
      <c r="AO118" s="114" t="e">
        <f t="shared" si="24"/>
        <v>#N/A</v>
      </c>
      <c r="AP118" s="113" t="e">
        <f t="shared" si="24"/>
        <v>#N/A</v>
      </c>
      <c r="AQ118" s="18" t="e">
        <f>NA()</f>
        <v>#N/A</v>
      </c>
      <c r="AR118" s="23"/>
      <c r="AU118" s="114" t="e">
        <f t="shared" si="23"/>
        <v>#N/A</v>
      </c>
      <c r="AV118" s="114" t="e">
        <f t="shared" si="25"/>
        <v>#N/A</v>
      </c>
      <c r="AW118" s="113" t="e">
        <f t="shared" si="25"/>
        <v>#N/A</v>
      </c>
    </row>
    <row r="119" spans="6:49" x14ac:dyDescent="0.25">
      <c r="F119" s="23"/>
      <c r="I119" s="34" t="s">
        <v>115</v>
      </c>
      <c r="J119" s="18" t="e">
        <f>IF(H118&lt;=I118,TRUE,FALSE)</f>
        <v>#VALUE!</v>
      </c>
      <c r="M119" s="22"/>
      <c r="AK119" s="23">
        <v>59</v>
      </c>
      <c r="AL119" s="18" t="str">
        <f t="shared" si="22"/>
        <v/>
      </c>
      <c r="AM119" s="114" t="e">
        <f t="shared" si="24"/>
        <v>#N/A</v>
      </c>
      <c r="AN119" s="114" t="e">
        <f t="shared" si="24"/>
        <v>#N/A</v>
      </c>
      <c r="AO119" s="114" t="e">
        <f t="shared" si="24"/>
        <v>#N/A</v>
      </c>
      <c r="AP119" s="113" t="e">
        <f t="shared" si="24"/>
        <v>#N/A</v>
      </c>
      <c r="AQ119" s="18" t="e">
        <f>NA()</f>
        <v>#N/A</v>
      </c>
      <c r="AR119" s="23"/>
      <c r="AU119" s="114" t="e">
        <f t="shared" si="23"/>
        <v>#N/A</v>
      </c>
      <c r="AV119" s="114" t="e">
        <f t="shared" si="25"/>
        <v>#N/A</v>
      </c>
      <c r="AW119" s="113" t="e">
        <f t="shared" si="25"/>
        <v>#N/A</v>
      </c>
    </row>
    <row r="120" spans="6:49" x14ac:dyDescent="0.25">
      <c r="F120" s="23" t="s">
        <v>114</v>
      </c>
      <c r="M120" s="22"/>
      <c r="AK120" s="23">
        <v>60</v>
      </c>
      <c r="AL120" s="18" t="str">
        <f t="shared" si="22"/>
        <v/>
      </c>
      <c r="AM120" s="114" t="e">
        <f t="shared" ref="AM120:AP139" si="26">IF(ISBLANK(VLOOKUP($AK120,$AK$43:$AP$56,AM$59,FALSE)),NA(),VLOOKUP($AK120,$AK$43:$AP$56,AM$59,FALSE))</f>
        <v>#N/A</v>
      </c>
      <c r="AN120" s="114" t="e">
        <f t="shared" si="26"/>
        <v>#N/A</v>
      </c>
      <c r="AO120" s="114" t="e">
        <f t="shared" si="26"/>
        <v>#N/A</v>
      </c>
      <c r="AP120" s="113" t="e">
        <f t="shared" si="26"/>
        <v>#N/A</v>
      </c>
      <c r="AQ120" s="18" t="e">
        <f>NA()</f>
        <v>#N/A</v>
      </c>
      <c r="AR120" s="23"/>
      <c r="AU120" s="114" t="e">
        <f t="shared" si="23"/>
        <v>#N/A</v>
      </c>
      <c r="AV120" s="114" t="e">
        <f t="shared" si="25"/>
        <v>#N/A</v>
      </c>
      <c r="AW120" s="113" t="e">
        <f t="shared" si="25"/>
        <v>#N/A</v>
      </c>
    </row>
    <row r="121" spans="6:49" x14ac:dyDescent="0.25">
      <c r="F121" s="23"/>
      <c r="G121" s="18" t="s">
        <v>113</v>
      </c>
      <c r="M121" s="22"/>
      <c r="AK121" s="23">
        <v>61</v>
      </c>
      <c r="AL121" s="18" t="str">
        <f t="shared" si="22"/>
        <v/>
      </c>
      <c r="AM121" s="114" t="e">
        <f t="shared" si="26"/>
        <v>#N/A</v>
      </c>
      <c r="AN121" s="114" t="e">
        <f t="shared" si="26"/>
        <v>#N/A</v>
      </c>
      <c r="AO121" s="114" t="e">
        <f t="shared" si="26"/>
        <v>#N/A</v>
      </c>
      <c r="AP121" s="113" t="e">
        <f t="shared" si="26"/>
        <v>#N/A</v>
      </c>
      <c r="AQ121" s="18" t="e">
        <f>NA()</f>
        <v>#N/A</v>
      </c>
      <c r="AR121" s="23"/>
      <c r="AU121" s="114" t="e">
        <f t="shared" si="23"/>
        <v>#N/A</v>
      </c>
      <c r="AV121" s="114" t="e">
        <f t="shared" ref="AV121:AW140" si="27">IF(ISBLANK(VLOOKUP($AK121,$AK$43:$AW$56,AV$59,FALSE)),NA(),VLOOKUP($AK121,$AK$43:$AW$56,AV$59,FALSE))</f>
        <v>#N/A</v>
      </c>
      <c r="AW121" s="113" t="e">
        <f t="shared" si="27"/>
        <v>#N/A</v>
      </c>
    </row>
    <row r="122" spans="6:49" x14ac:dyDescent="0.25">
      <c r="F122" s="23"/>
      <c r="G122" s="18" t="s">
        <v>112</v>
      </c>
      <c r="H122" s="18" t="s">
        <v>111</v>
      </c>
      <c r="M122" s="22"/>
      <c r="AK122" s="23">
        <v>62</v>
      </c>
      <c r="AL122" s="18" t="str">
        <f t="shared" si="22"/>
        <v>3/8 in.</v>
      </c>
      <c r="AM122" s="114" t="str">
        <f t="shared" si="26"/>
        <v/>
      </c>
      <c r="AN122" s="114" t="e">
        <f t="shared" si="26"/>
        <v>#N/A</v>
      </c>
      <c r="AO122" s="114" t="e">
        <f t="shared" si="26"/>
        <v>#N/A</v>
      </c>
      <c r="AP122" s="113" t="e">
        <f t="shared" si="26"/>
        <v>#N/A</v>
      </c>
      <c r="AQ122" s="115">
        <f>AQ67</f>
        <v>1</v>
      </c>
      <c r="AR122" s="23"/>
      <c r="AU122" s="114" t="e">
        <f t="shared" si="23"/>
        <v>#VALUE!</v>
      </c>
      <c r="AV122" s="114" t="str">
        <f t="shared" si="27"/>
        <v/>
      </c>
      <c r="AW122" s="113" t="str">
        <f t="shared" si="27"/>
        <v/>
      </c>
    </row>
    <row r="123" spans="6:49" x14ac:dyDescent="0.25">
      <c r="F123" s="23"/>
      <c r="G123" s="118">
        <v>0.52</v>
      </c>
      <c r="H123" s="117">
        <v>0.38</v>
      </c>
      <c r="M123" s="22"/>
      <c r="AK123" s="23">
        <v>63</v>
      </c>
      <c r="AL123" s="18" t="str">
        <f t="shared" si="22"/>
        <v/>
      </c>
      <c r="AM123" s="114" t="e">
        <f t="shared" si="26"/>
        <v>#N/A</v>
      </c>
      <c r="AN123" s="114" t="e">
        <f t="shared" si="26"/>
        <v>#N/A</v>
      </c>
      <c r="AO123" s="114" t="e">
        <f t="shared" si="26"/>
        <v>#N/A</v>
      </c>
      <c r="AP123" s="113" t="e">
        <f t="shared" si="26"/>
        <v>#N/A</v>
      </c>
      <c r="AQ123" s="18" t="e">
        <f>NA()</f>
        <v>#N/A</v>
      </c>
      <c r="AR123" s="23"/>
      <c r="AU123" s="114" t="e">
        <f t="shared" si="23"/>
        <v>#N/A</v>
      </c>
      <c r="AV123" s="114" t="e">
        <f t="shared" si="27"/>
        <v>#N/A</v>
      </c>
      <c r="AW123" s="113" t="e">
        <f t="shared" si="27"/>
        <v>#N/A</v>
      </c>
    </row>
    <row r="124" spans="6:49" x14ac:dyDescent="0.25">
      <c r="F124" s="23"/>
      <c r="G124" s="118">
        <v>0.68</v>
      </c>
      <c r="H124" s="117">
        <v>0.36</v>
      </c>
      <c r="M124" s="22"/>
      <c r="AK124" s="23">
        <v>64</v>
      </c>
      <c r="AL124" s="18" t="str">
        <f t="shared" ref="AL124:AL155" si="28">IF(ISNA(VLOOKUP($AK124,$AK$43:$AP$56,AL$59,FALSE)),"",VLOOKUP($AK124,$AK$43:$AP$56,AL$59,FALSE))</f>
        <v/>
      </c>
      <c r="AM124" s="114" t="e">
        <f t="shared" si="26"/>
        <v>#N/A</v>
      </c>
      <c r="AN124" s="114" t="e">
        <f t="shared" si="26"/>
        <v>#N/A</v>
      </c>
      <c r="AO124" s="114" t="e">
        <f t="shared" si="26"/>
        <v>#N/A</v>
      </c>
      <c r="AP124" s="113" t="e">
        <f t="shared" si="26"/>
        <v>#N/A</v>
      </c>
      <c r="AQ124" s="18" t="e">
        <f>NA()</f>
        <v>#N/A</v>
      </c>
      <c r="AR124" s="23"/>
      <c r="AU124" s="114" t="e">
        <f t="shared" si="23"/>
        <v>#N/A</v>
      </c>
      <c r="AV124" s="114" t="e">
        <f t="shared" si="27"/>
        <v>#N/A</v>
      </c>
      <c r="AW124" s="113" t="e">
        <f t="shared" si="27"/>
        <v>#N/A</v>
      </c>
    </row>
    <row r="125" spans="6:49" x14ac:dyDescent="0.25">
      <c r="F125" s="23"/>
      <c r="G125" s="18" t="s">
        <v>110</v>
      </c>
      <c r="M125" s="22"/>
      <c r="AK125" s="23">
        <v>65</v>
      </c>
      <c r="AL125" s="18" t="str">
        <f t="shared" si="28"/>
        <v/>
      </c>
      <c r="AM125" s="114" t="e">
        <f t="shared" si="26"/>
        <v>#N/A</v>
      </c>
      <c r="AN125" s="114" t="e">
        <f t="shared" si="26"/>
        <v>#N/A</v>
      </c>
      <c r="AO125" s="114" t="e">
        <f t="shared" si="26"/>
        <v>#N/A</v>
      </c>
      <c r="AP125" s="113" t="e">
        <f t="shared" si="26"/>
        <v>#N/A</v>
      </c>
      <c r="AQ125" s="18" t="e">
        <f>NA()</f>
        <v>#N/A</v>
      </c>
      <c r="AR125" s="23"/>
      <c r="AU125" s="114" t="e">
        <f t="shared" ref="AU125:AU156" si="29">IF(ISBLANK(VLOOKUP($AK125,$AK$43:$AU$56,AU$59,FALSE)),NA(),VLOOKUP($AK125,$AK$43:$AU$56,AU$59,FALSE))</f>
        <v>#N/A</v>
      </c>
      <c r="AV125" s="114" t="e">
        <f t="shared" si="27"/>
        <v>#N/A</v>
      </c>
      <c r="AW125" s="113" t="e">
        <f t="shared" si="27"/>
        <v>#N/A</v>
      </c>
    </row>
    <row r="126" spans="6:49" x14ac:dyDescent="0.25">
      <c r="F126" s="23"/>
      <c r="G126" s="18" t="s">
        <v>109</v>
      </c>
      <c r="H126" s="18" t="s">
        <v>108</v>
      </c>
      <c r="I126" s="18" t="s">
        <v>107</v>
      </c>
      <c r="M126" s="22"/>
      <c r="AK126" s="23">
        <v>66</v>
      </c>
      <c r="AL126" s="18" t="str">
        <f t="shared" si="28"/>
        <v/>
      </c>
      <c r="AM126" s="114" t="e">
        <f t="shared" si="26"/>
        <v>#N/A</v>
      </c>
      <c r="AN126" s="114" t="e">
        <f t="shared" si="26"/>
        <v>#N/A</v>
      </c>
      <c r="AO126" s="114" t="e">
        <f t="shared" si="26"/>
        <v>#N/A</v>
      </c>
      <c r="AP126" s="113" t="e">
        <f t="shared" si="26"/>
        <v>#N/A</v>
      </c>
      <c r="AQ126" s="18" t="e">
        <f>NA()</f>
        <v>#N/A</v>
      </c>
      <c r="AR126" s="23"/>
      <c r="AU126" s="114" t="e">
        <f t="shared" si="29"/>
        <v>#N/A</v>
      </c>
      <c r="AV126" s="114" t="e">
        <f t="shared" si="27"/>
        <v>#N/A</v>
      </c>
      <c r="AW126" s="113" t="e">
        <f t="shared" si="27"/>
        <v>#N/A</v>
      </c>
    </row>
    <row r="127" spans="6:49" x14ac:dyDescent="0.25">
      <c r="F127" s="23"/>
      <c r="G127" s="116" t="e">
        <f>G118</f>
        <v>#VALUE!</v>
      </c>
      <c r="H127" s="35" t="e">
        <f>G127*SLOPE(H123:H124,G123:G124)+INTERCEPT(H123:H124,G123:G124)</f>
        <v>#VALUE!</v>
      </c>
      <c r="I127" s="116" t="e">
        <f>I118</f>
        <v>#VALUE!</v>
      </c>
      <c r="M127" s="22"/>
      <c r="AK127" s="23">
        <v>67</v>
      </c>
      <c r="AL127" s="18" t="str">
        <f t="shared" si="28"/>
        <v/>
      </c>
      <c r="AM127" s="114" t="e">
        <f t="shared" si="26"/>
        <v>#N/A</v>
      </c>
      <c r="AN127" s="114" t="e">
        <f t="shared" si="26"/>
        <v>#N/A</v>
      </c>
      <c r="AO127" s="114" t="e">
        <f t="shared" si="26"/>
        <v>#N/A</v>
      </c>
      <c r="AP127" s="113" t="e">
        <f t="shared" si="26"/>
        <v>#N/A</v>
      </c>
      <c r="AQ127" s="18" t="e">
        <f>NA()</f>
        <v>#N/A</v>
      </c>
      <c r="AR127" s="23"/>
      <c r="AU127" s="114" t="e">
        <f t="shared" si="29"/>
        <v>#N/A</v>
      </c>
      <c r="AV127" s="114" t="e">
        <f t="shared" si="27"/>
        <v>#N/A</v>
      </c>
      <c r="AW127" s="113" t="e">
        <f t="shared" si="27"/>
        <v>#N/A</v>
      </c>
    </row>
    <row r="128" spans="6:49" x14ac:dyDescent="0.25">
      <c r="F128" s="23"/>
      <c r="I128" s="34" t="s">
        <v>106</v>
      </c>
      <c r="J128" s="18" t="e">
        <f>IF(H127&gt;=I127,TRUE,FALSE)</f>
        <v>#VALUE!</v>
      </c>
      <c r="M128" s="22"/>
      <c r="AK128" s="23">
        <v>68</v>
      </c>
      <c r="AL128" s="18" t="str">
        <f t="shared" si="28"/>
        <v/>
      </c>
      <c r="AM128" s="114" t="e">
        <f t="shared" si="26"/>
        <v>#N/A</v>
      </c>
      <c r="AN128" s="114" t="e">
        <f t="shared" si="26"/>
        <v>#N/A</v>
      </c>
      <c r="AO128" s="114" t="e">
        <f t="shared" si="26"/>
        <v>#N/A</v>
      </c>
      <c r="AP128" s="113" t="e">
        <f t="shared" si="26"/>
        <v>#N/A</v>
      </c>
      <c r="AQ128" s="18" t="e">
        <f>NA()</f>
        <v>#N/A</v>
      </c>
      <c r="AR128" s="23"/>
      <c r="AU128" s="114" t="e">
        <f t="shared" si="29"/>
        <v>#N/A</v>
      </c>
      <c r="AV128" s="114" t="e">
        <f t="shared" si="27"/>
        <v>#N/A</v>
      </c>
      <c r="AW128" s="113" t="e">
        <f t="shared" si="27"/>
        <v>#N/A</v>
      </c>
    </row>
    <row r="129" spans="6:49" x14ac:dyDescent="0.25">
      <c r="F129" s="23" t="s">
        <v>105</v>
      </c>
      <c r="M129" s="22"/>
      <c r="AK129" s="23">
        <v>69</v>
      </c>
      <c r="AL129" s="18" t="str">
        <f t="shared" si="28"/>
        <v/>
      </c>
      <c r="AM129" s="114" t="e">
        <f t="shared" si="26"/>
        <v>#N/A</v>
      </c>
      <c r="AN129" s="114" t="e">
        <f t="shared" si="26"/>
        <v>#N/A</v>
      </c>
      <c r="AO129" s="114" t="e">
        <f t="shared" si="26"/>
        <v>#N/A</v>
      </c>
      <c r="AP129" s="113" t="e">
        <f t="shared" si="26"/>
        <v>#N/A</v>
      </c>
      <c r="AQ129" s="18" t="e">
        <f>NA()</f>
        <v>#N/A</v>
      </c>
      <c r="AR129" s="23"/>
      <c r="AU129" s="114" t="e">
        <f t="shared" si="29"/>
        <v>#N/A</v>
      </c>
      <c r="AV129" s="114" t="e">
        <f t="shared" si="27"/>
        <v>#N/A</v>
      </c>
      <c r="AW129" s="113" t="e">
        <f t="shared" si="27"/>
        <v>#N/A</v>
      </c>
    </row>
    <row r="130" spans="6:49" x14ac:dyDescent="0.25">
      <c r="F130" s="23"/>
      <c r="I130" s="41" t="s">
        <v>104</v>
      </c>
      <c r="M130" s="22"/>
      <c r="AK130" s="23">
        <v>70</v>
      </c>
      <c r="AL130" s="18" t="str">
        <f t="shared" si="28"/>
        <v>1/2 in.</v>
      </c>
      <c r="AM130" s="114" t="str">
        <f t="shared" si="26"/>
        <v/>
      </c>
      <c r="AN130" s="114" t="e">
        <f t="shared" si="26"/>
        <v>#N/A</v>
      </c>
      <c r="AO130" s="114" t="e">
        <f t="shared" si="26"/>
        <v>#N/A</v>
      </c>
      <c r="AP130" s="113" t="e">
        <f t="shared" si="26"/>
        <v>#N/A</v>
      </c>
      <c r="AQ130" s="115">
        <f>AQ67</f>
        <v>1</v>
      </c>
      <c r="AR130" s="23"/>
      <c r="AU130" s="114" t="e">
        <f t="shared" si="29"/>
        <v>#VALUE!</v>
      </c>
      <c r="AV130" s="114" t="str">
        <f t="shared" si="27"/>
        <v/>
      </c>
      <c r="AW130" s="113" t="str">
        <f t="shared" si="27"/>
        <v/>
      </c>
    </row>
    <row r="131" spans="6:49" x14ac:dyDescent="0.25">
      <c r="F131" s="23"/>
      <c r="G131" s="34" t="s">
        <v>103</v>
      </c>
      <c r="H131" s="115">
        <f>G114</f>
        <v>0.68</v>
      </c>
      <c r="I131" s="18" t="e">
        <f>IF(G127&lt;=H131,TRUE,FALSE)</f>
        <v>#VALUE!</v>
      </c>
      <c r="M131" s="22"/>
      <c r="AK131" s="23">
        <v>71</v>
      </c>
      <c r="AL131" s="18" t="str">
        <f t="shared" si="28"/>
        <v/>
      </c>
      <c r="AM131" s="114" t="e">
        <f t="shared" si="26"/>
        <v>#N/A</v>
      </c>
      <c r="AN131" s="114" t="e">
        <f t="shared" si="26"/>
        <v>#N/A</v>
      </c>
      <c r="AO131" s="114" t="e">
        <f t="shared" si="26"/>
        <v>#N/A</v>
      </c>
      <c r="AP131" s="113" t="e">
        <f t="shared" si="26"/>
        <v>#N/A</v>
      </c>
      <c r="AQ131" s="18" t="e">
        <f>NA()</f>
        <v>#N/A</v>
      </c>
      <c r="AR131" s="23"/>
      <c r="AU131" s="114" t="e">
        <f t="shared" si="29"/>
        <v>#N/A</v>
      </c>
      <c r="AV131" s="114" t="e">
        <f t="shared" si="27"/>
        <v>#N/A</v>
      </c>
      <c r="AW131" s="113" t="e">
        <f t="shared" si="27"/>
        <v>#N/A</v>
      </c>
    </row>
    <row r="132" spans="6:49" x14ac:dyDescent="0.25">
      <c r="F132" s="23"/>
      <c r="G132" s="34" t="s">
        <v>102</v>
      </c>
      <c r="H132" s="115">
        <f>G115</f>
        <v>0.52</v>
      </c>
      <c r="I132" s="18" t="e">
        <f>IF(G127&gt;=H132,TRUE,FALSE)</f>
        <v>#VALUE!</v>
      </c>
      <c r="M132" s="22"/>
      <c r="AK132" s="23">
        <v>72</v>
      </c>
      <c r="AL132" s="18" t="str">
        <f t="shared" si="28"/>
        <v/>
      </c>
      <c r="AM132" s="114" t="e">
        <f t="shared" si="26"/>
        <v>#N/A</v>
      </c>
      <c r="AN132" s="114" t="e">
        <f t="shared" si="26"/>
        <v>#N/A</v>
      </c>
      <c r="AO132" s="114" t="e">
        <f t="shared" si="26"/>
        <v>#N/A</v>
      </c>
      <c r="AP132" s="113" t="e">
        <f t="shared" si="26"/>
        <v>#N/A</v>
      </c>
      <c r="AQ132" s="18" t="e">
        <f>NA()</f>
        <v>#N/A</v>
      </c>
      <c r="AR132" s="23"/>
      <c r="AU132" s="114" t="e">
        <f t="shared" si="29"/>
        <v>#N/A</v>
      </c>
      <c r="AV132" s="114" t="e">
        <f t="shared" si="27"/>
        <v>#N/A</v>
      </c>
      <c r="AW132" s="113" t="e">
        <f t="shared" si="27"/>
        <v>#N/A</v>
      </c>
    </row>
    <row r="133" spans="6:49" x14ac:dyDescent="0.25">
      <c r="F133" s="21" t="e">
        <f>IF(AND(J119,J128,I131,I132),"Blend is within the Workability Box.","Blend is not in the Workability Box")</f>
        <v>#VALUE!</v>
      </c>
      <c r="G133" s="20"/>
      <c r="H133" s="20"/>
      <c r="I133" s="20"/>
      <c r="J133" s="20"/>
      <c r="K133" s="20"/>
      <c r="L133" s="20"/>
      <c r="M133" s="19"/>
      <c r="AK133" s="23">
        <v>73</v>
      </c>
      <c r="AL133" s="18" t="str">
        <f t="shared" si="28"/>
        <v/>
      </c>
      <c r="AM133" s="114" t="e">
        <f t="shared" si="26"/>
        <v>#N/A</v>
      </c>
      <c r="AN133" s="114" t="e">
        <f t="shared" si="26"/>
        <v>#N/A</v>
      </c>
      <c r="AO133" s="114" t="e">
        <f t="shared" si="26"/>
        <v>#N/A</v>
      </c>
      <c r="AP133" s="113" t="e">
        <f t="shared" si="26"/>
        <v>#N/A</v>
      </c>
      <c r="AQ133" s="18" t="e">
        <f>NA()</f>
        <v>#N/A</v>
      </c>
      <c r="AR133" s="23"/>
      <c r="AU133" s="114" t="e">
        <f t="shared" si="29"/>
        <v>#N/A</v>
      </c>
      <c r="AV133" s="114" t="e">
        <f t="shared" si="27"/>
        <v>#N/A</v>
      </c>
      <c r="AW133" s="113" t="e">
        <f t="shared" si="27"/>
        <v>#N/A</v>
      </c>
    </row>
    <row r="134" spans="6:49" x14ac:dyDescent="0.25">
      <c r="AK134" s="23">
        <v>74</v>
      </c>
      <c r="AL134" s="18" t="str">
        <f t="shared" si="28"/>
        <v/>
      </c>
      <c r="AM134" s="114" t="e">
        <f t="shared" si="26"/>
        <v>#N/A</v>
      </c>
      <c r="AN134" s="114" t="e">
        <f t="shared" si="26"/>
        <v>#N/A</v>
      </c>
      <c r="AO134" s="114" t="e">
        <f t="shared" si="26"/>
        <v>#N/A</v>
      </c>
      <c r="AP134" s="113" t="e">
        <f t="shared" si="26"/>
        <v>#N/A</v>
      </c>
      <c r="AQ134" s="18" t="e">
        <f>NA()</f>
        <v>#N/A</v>
      </c>
      <c r="AR134" s="23"/>
      <c r="AU134" s="114" t="e">
        <f t="shared" si="29"/>
        <v>#N/A</v>
      </c>
      <c r="AV134" s="114" t="e">
        <f t="shared" si="27"/>
        <v>#N/A</v>
      </c>
      <c r="AW134" s="113" t="e">
        <f t="shared" si="27"/>
        <v>#N/A</v>
      </c>
    </row>
    <row r="135" spans="6:49" x14ac:dyDescent="0.25">
      <c r="AK135" s="23">
        <v>75</v>
      </c>
      <c r="AL135" s="18" t="str">
        <f t="shared" si="28"/>
        <v/>
      </c>
      <c r="AM135" s="114" t="e">
        <f t="shared" si="26"/>
        <v>#N/A</v>
      </c>
      <c r="AN135" s="114" t="e">
        <f t="shared" si="26"/>
        <v>#N/A</v>
      </c>
      <c r="AO135" s="114" t="e">
        <f t="shared" si="26"/>
        <v>#N/A</v>
      </c>
      <c r="AP135" s="113" t="e">
        <f t="shared" si="26"/>
        <v>#N/A</v>
      </c>
      <c r="AQ135" s="18" t="e">
        <f>NA()</f>
        <v>#N/A</v>
      </c>
      <c r="AR135" s="23"/>
      <c r="AU135" s="114" t="e">
        <f t="shared" si="29"/>
        <v>#N/A</v>
      </c>
      <c r="AV135" s="114" t="e">
        <f t="shared" si="27"/>
        <v>#N/A</v>
      </c>
      <c r="AW135" s="113" t="e">
        <f t="shared" si="27"/>
        <v>#N/A</v>
      </c>
    </row>
    <row r="136" spans="6:49" x14ac:dyDescent="0.25">
      <c r="AK136" s="23">
        <v>76</v>
      </c>
      <c r="AL136" s="18" t="str">
        <f t="shared" si="28"/>
        <v/>
      </c>
      <c r="AM136" s="114" t="e">
        <f t="shared" si="26"/>
        <v>#N/A</v>
      </c>
      <c r="AN136" s="114" t="e">
        <f t="shared" si="26"/>
        <v>#N/A</v>
      </c>
      <c r="AO136" s="114" t="e">
        <f t="shared" si="26"/>
        <v>#N/A</v>
      </c>
      <c r="AP136" s="113" t="e">
        <f t="shared" si="26"/>
        <v>#N/A</v>
      </c>
      <c r="AQ136" s="18" t="e">
        <f>NA()</f>
        <v>#N/A</v>
      </c>
      <c r="AR136" s="23"/>
      <c r="AU136" s="114" t="e">
        <f t="shared" si="29"/>
        <v>#N/A</v>
      </c>
      <c r="AV136" s="114" t="e">
        <f t="shared" si="27"/>
        <v>#N/A</v>
      </c>
      <c r="AW136" s="113" t="e">
        <f t="shared" si="27"/>
        <v>#N/A</v>
      </c>
    </row>
    <row r="137" spans="6:49" x14ac:dyDescent="0.25">
      <c r="AK137" s="23">
        <v>77</v>
      </c>
      <c r="AL137" s="18" t="str">
        <f t="shared" si="28"/>
        <v/>
      </c>
      <c r="AM137" s="114" t="e">
        <f t="shared" si="26"/>
        <v>#N/A</v>
      </c>
      <c r="AN137" s="114" t="e">
        <f t="shared" si="26"/>
        <v>#N/A</v>
      </c>
      <c r="AO137" s="114" t="e">
        <f t="shared" si="26"/>
        <v>#N/A</v>
      </c>
      <c r="AP137" s="113" t="e">
        <f t="shared" si="26"/>
        <v>#N/A</v>
      </c>
      <c r="AQ137" s="18" t="e">
        <f>NA()</f>
        <v>#N/A</v>
      </c>
      <c r="AR137" s="23"/>
      <c r="AU137" s="114" t="e">
        <f t="shared" si="29"/>
        <v>#N/A</v>
      </c>
      <c r="AV137" s="114" t="e">
        <f t="shared" si="27"/>
        <v>#N/A</v>
      </c>
      <c r="AW137" s="113" t="e">
        <f t="shared" si="27"/>
        <v>#N/A</v>
      </c>
    </row>
    <row r="138" spans="6:49" x14ac:dyDescent="0.25">
      <c r="AK138" s="23">
        <v>78</v>
      </c>
      <c r="AL138" s="18" t="str">
        <f t="shared" si="28"/>
        <v/>
      </c>
      <c r="AM138" s="114" t="e">
        <f t="shared" si="26"/>
        <v>#N/A</v>
      </c>
      <c r="AN138" s="114" t="e">
        <f t="shared" si="26"/>
        <v>#N/A</v>
      </c>
      <c r="AO138" s="114" t="e">
        <f t="shared" si="26"/>
        <v>#N/A</v>
      </c>
      <c r="AP138" s="113" t="e">
        <f t="shared" si="26"/>
        <v>#N/A</v>
      </c>
      <c r="AQ138" s="18" t="e">
        <f>NA()</f>
        <v>#N/A</v>
      </c>
      <c r="AR138" s="23"/>
      <c r="AU138" s="114" t="e">
        <f t="shared" si="29"/>
        <v>#N/A</v>
      </c>
      <c r="AV138" s="114" t="e">
        <f t="shared" si="27"/>
        <v>#N/A</v>
      </c>
      <c r="AW138" s="113" t="e">
        <f t="shared" si="27"/>
        <v>#N/A</v>
      </c>
    </row>
    <row r="139" spans="6:49" x14ac:dyDescent="0.25">
      <c r="AK139" s="23">
        <v>79</v>
      </c>
      <c r="AL139" s="18" t="str">
        <f t="shared" si="28"/>
        <v/>
      </c>
      <c r="AM139" s="114" t="e">
        <f t="shared" si="26"/>
        <v>#N/A</v>
      </c>
      <c r="AN139" s="114" t="e">
        <f t="shared" si="26"/>
        <v>#N/A</v>
      </c>
      <c r="AO139" s="114" t="e">
        <f t="shared" si="26"/>
        <v>#N/A</v>
      </c>
      <c r="AP139" s="113" t="e">
        <f t="shared" si="26"/>
        <v>#N/A</v>
      </c>
      <c r="AQ139" s="18" t="e">
        <f>NA()</f>
        <v>#N/A</v>
      </c>
      <c r="AR139" s="23"/>
      <c r="AU139" s="114" t="e">
        <f t="shared" si="29"/>
        <v>#N/A</v>
      </c>
      <c r="AV139" s="114" t="e">
        <f t="shared" si="27"/>
        <v>#N/A</v>
      </c>
      <c r="AW139" s="113" t="e">
        <f t="shared" si="27"/>
        <v>#N/A</v>
      </c>
    </row>
    <row r="140" spans="6:49" x14ac:dyDescent="0.25">
      <c r="AK140" s="23">
        <v>80</v>
      </c>
      <c r="AL140" s="18" t="str">
        <f t="shared" si="28"/>
        <v/>
      </c>
      <c r="AM140" s="114" t="e">
        <f t="shared" ref="AM140:AP159" si="30">IF(ISBLANK(VLOOKUP($AK140,$AK$43:$AP$56,AM$59,FALSE)),NA(),VLOOKUP($AK140,$AK$43:$AP$56,AM$59,FALSE))</f>
        <v>#N/A</v>
      </c>
      <c r="AN140" s="114" t="e">
        <f t="shared" si="30"/>
        <v>#N/A</v>
      </c>
      <c r="AO140" s="114" t="e">
        <f t="shared" si="30"/>
        <v>#N/A</v>
      </c>
      <c r="AP140" s="113" t="e">
        <f t="shared" si="30"/>
        <v>#N/A</v>
      </c>
      <c r="AQ140" s="18" t="e">
        <f>NA()</f>
        <v>#N/A</v>
      </c>
      <c r="AR140" s="23"/>
      <c r="AU140" s="114" t="e">
        <f t="shared" si="29"/>
        <v>#N/A</v>
      </c>
      <c r="AV140" s="114" t="e">
        <f t="shared" si="27"/>
        <v>#N/A</v>
      </c>
      <c r="AW140" s="113" t="e">
        <f t="shared" si="27"/>
        <v>#N/A</v>
      </c>
    </row>
    <row r="141" spans="6:49" x14ac:dyDescent="0.25">
      <c r="AK141" s="23">
        <v>81</v>
      </c>
      <c r="AL141" s="18" t="str">
        <f t="shared" si="28"/>
        <v/>
      </c>
      <c r="AM141" s="114" t="e">
        <f t="shared" si="30"/>
        <v>#N/A</v>
      </c>
      <c r="AN141" s="114" t="e">
        <f t="shared" si="30"/>
        <v>#N/A</v>
      </c>
      <c r="AO141" s="114" t="e">
        <f t="shared" si="30"/>
        <v>#N/A</v>
      </c>
      <c r="AP141" s="113" t="e">
        <f t="shared" si="30"/>
        <v>#N/A</v>
      </c>
      <c r="AQ141" s="18" t="e">
        <f>NA()</f>
        <v>#N/A</v>
      </c>
      <c r="AR141" s="23"/>
      <c r="AU141" s="114" t="e">
        <f t="shared" si="29"/>
        <v>#N/A</v>
      </c>
      <c r="AV141" s="114" t="e">
        <f t="shared" ref="AV141:AW160" si="31">IF(ISBLANK(VLOOKUP($AK141,$AK$43:$AW$56,AV$59,FALSE)),NA(),VLOOKUP($AK141,$AK$43:$AW$56,AV$59,FALSE))</f>
        <v>#N/A</v>
      </c>
      <c r="AW141" s="113" t="e">
        <f t="shared" si="31"/>
        <v>#N/A</v>
      </c>
    </row>
    <row r="142" spans="6:49" x14ac:dyDescent="0.25">
      <c r="AK142" s="23">
        <v>82</v>
      </c>
      <c r="AL142" s="18" t="str">
        <f t="shared" si="28"/>
        <v/>
      </c>
      <c r="AM142" s="114" t="e">
        <f t="shared" si="30"/>
        <v>#N/A</v>
      </c>
      <c r="AN142" s="114" t="e">
        <f t="shared" si="30"/>
        <v>#N/A</v>
      </c>
      <c r="AO142" s="114" t="e">
        <f t="shared" si="30"/>
        <v>#N/A</v>
      </c>
      <c r="AP142" s="113" t="e">
        <f t="shared" si="30"/>
        <v>#N/A</v>
      </c>
      <c r="AQ142" s="18" t="e">
        <f>NA()</f>
        <v>#N/A</v>
      </c>
      <c r="AR142" s="23"/>
      <c r="AU142" s="114" t="e">
        <f t="shared" si="29"/>
        <v>#N/A</v>
      </c>
      <c r="AV142" s="114" t="e">
        <f t="shared" si="31"/>
        <v>#N/A</v>
      </c>
      <c r="AW142" s="113" t="e">
        <f t="shared" si="31"/>
        <v>#N/A</v>
      </c>
    </row>
    <row r="143" spans="6:49" x14ac:dyDescent="0.25">
      <c r="AK143" s="23">
        <v>83</v>
      </c>
      <c r="AL143" s="18" t="str">
        <f t="shared" si="28"/>
        <v/>
      </c>
      <c r="AM143" s="114" t="e">
        <f t="shared" si="30"/>
        <v>#N/A</v>
      </c>
      <c r="AN143" s="114" t="e">
        <f t="shared" si="30"/>
        <v>#N/A</v>
      </c>
      <c r="AO143" s="114" t="e">
        <f t="shared" si="30"/>
        <v>#N/A</v>
      </c>
      <c r="AP143" s="113" t="e">
        <f t="shared" si="30"/>
        <v>#N/A</v>
      </c>
      <c r="AQ143" s="18" t="e">
        <f>NA()</f>
        <v>#N/A</v>
      </c>
      <c r="AR143" s="23"/>
      <c r="AU143" s="114" t="e">
        <f t="shared" si="29"/>
        <v>#N/A</v>
      </c>
      <c r="AV143" s="114" t="e">
        <f t="shared" si="31"/>
        <v>#N/A</v>
      </c>
      <c r="AW143" s="113" t="e">
        <f t="shared" si="31"/>
        <v>#N/A</v>
      </c>
    </row>
    <row r="144" spans="6:49" x14ac:dyDescent="0.25">
      <c r="AK144" s="23">
        <v>84</v>
      </c>
      <c r="AL144" s="18" t="str">
        <f t="shared" si="28"/>
        <v>3/4 in.</v>
      </c>
      <c r="AM144" s="114" t="str">
        <f t="shared" si="30"/>
        <v/>
      </c>
      <c r="AN144" s="114" t="e">
        <f t="shared" si="30"/>
        <v>#N/A</v>
      </c>
      <c r="AO144" s="114" t="e">
        <f t="shared" si="30"/>
        <v>#N/A</v>
      </c>
      <c r="AP144" s="113" t="e">
        <f t="shared" si="30"/>
        <v>#N/A</v>
      </c>
      <c r="AQ144" s="115">
        <f>AQ67</f>
        <v>1</v>
      </c>
      <c r="AR144" s="23"/>
      <c r="AU144" s="114" t="e">
        <f t="shared" si="29"/>
        <v>#DIV/0!</v>
      </c>
      <c r="AV144" s="114" t="e">
        <f t="shared" si="31"/>
        <v>#DIV/0!</v>
      </c>
      <c r="AW144" s="113" t="str">
        <f t="shared" si="31"/>
        <v/>
      </c>
    </row>
    <row r="145" spans="37:49" x14ac:dyDescent="0.25">
      <c r="AK145" s="23">
        <v>85</v>
      </c>
      <c r="AL145" s="18" t="str">
        <f t="shared" si="28"/>
        <v/>
      </c>
      <c r="AM145" s="114" t="e">
        <f t="shared" si="30"/>
        <v>#N/A</v>
      </c>
      <c r="AN145" s="114" t="e">
        <f t="shared" si="30"/>
        <v>#N/A</v>
      </c>
      <c r="AO145" s="114" t="e">
        <f t="shared" si="30"/>
        <v>#N/A</v>
      </c>
      <c r="AP145" s="113" t="e">
        <f t="shared" si="30"/>
        <v>#N/A</v>
      </c>
      <c r="AQ145" s="18" t="e">
        <f>NA()</f>
        <v>#N/A</v>
      </c>
      <c r="AR145" s="23"/>
      <c r="AU145" s="114" t="e">
        <f t="shared" si="29"/>
        <v>#N/A</v>
      </c>
      <c r="AV145" s="114" t="e">
        <f t="shared" si="31"/>
        <v>#N/A</v>
      </c>
      <c r="AW145" s="113" t="e">
        <f t="shared" si="31"/>
        <v>#N/A</v>
      </c>
    </row>
    <row r="146" spans="37:49" x14ac:dyDescent="0.25">
      <c r="AK146" s="23">
        <v>86</v>
      </c>
      <c r="AL146" s="18" t="str">
        <f t="shared" si="28"/>
        <v/>
      </c>
      <c r="AM146" s="114" t="e">
        <f t="shared" si="30"/>
        <v>#N/A</v>
      </c>
      <c r="AN146" s="114" t="e">
        <f t="shared" si="30"/>
        <v>#N/A</v>
      </c>
      <c r="AO146" s="114" t="e">
        <f t="shared" si="30"/>
        <v>#N/A</v>
      </c>
      <c r="AP146" s="113" t="e">
        <f t="shared" si="30"/>
        <v>#N/A</v>
      </c>
      <c r="AQ146" s="18" t="e">
        <f>NA()</f>
        <v>#N/A</v>
      </c>
      <c r="AR146" s="23"/>
      <c r="AU146" s="114" t="e">
        <f t="shared" si="29"/>
        <v>#N/A</v>
      </c>
      <c r="AV146" s="114" t="e">
        <f t="shared" si="31"/>
        <v>#N/A</v>
      </c>
      <c r="AW146" s="113" t="e">
        <f t="shared" si="31"/>
        <v>#N/A</v>
      </c>
    </row>
    <row r="147" spans="37:49" x14ac:dyDescent="0.25">
      <c r="AK147" s="23">
        <v>87</v>
      </c>
      <c r="AL147" s="18" t="str">
        <f t="shared" si="28"/>
        <v/>
      </c>
      <c r="AM147" s="114" t="e">
        <f t="shared" si="30"/>
        <v>#N/A</v>
      </c>
      <c r="AN147" s="114" t="e">
        <f t="shared" si="30"/>
        <v>#N/A</v>
      </c>
      <c r="AO147" s="114" t="e">
        <f t="shared" si="30"/>
        <v>#N/A</v>
      </c>
      <c r="AP147" s="113" t="e">
        <f t="shared" si="30"/>
        <v>#N/A</v>
      </c>
      <c r="AQ147" s="18" t="e">
        <f>NA()</f>
        <v>#N/A</v>
      </c>
      <c r="AR147" s="23"/>
      <c r="AU147" s="114" t="e">
        <f t="shared" si="29"/>
        <v>#N/A</v>
      </c>
      <c r="AV147" s="114" t="e">
        <f t="shared" si="31"/>
        <v>#N/A</v>
      </c>
      <c r="AW147" s="113" t="e">
        <f t="shared" si="31"/>
        <v>#N/A</v>
      </c>
    </row>
    <row r="148" spans="37:49" x14ac:dyDescent="0.25">
      <c r="AK148" s="23">
        <v>88</v>
      </c>
      <c r="AL148" s="18" t="str">
        <f t="shared" si="28"/>
        <v/>
      </c>
      <c r="AM148" s="114" t="e">
        <f t="shared" si="30"/>
        <v>#N/A</v>
      </c>
      <c r="AN148" s="114" t="e">
        <f t="shared" si="30"/>
        <v>#N/A</v>
      </c>
      <c r="AO148" s="114" t="e">
        <f t="shared" si="30"/>
        <v>#N/A</v>
      </c>
      <c r="AP148" s="113" t="e">
        <f t="shared" si="30"/>
        <v>#N/A</v>
      </c>
      <c r="AQ148" s="18" t="e">
        <f>NA()</f>
        <v>#N/A</v>
      </c>
      <c r="AR148" s="23"/>
      <c r="AU148" s="114" t="e">
        <f t="shared" si="29"/>
        <v>#N/A</v>
      </c>
      <c r="AV148" s="114" t="e">
        <f t="shared" si="31"/>
        <v>#N/A</v>
      </c>
      <c r="AW148" s="113" t="e">
        <f t="shared" si="31"/>
        <v>#N/A</v>
      </c>
    </row>
    <row r="149" spans="37:49" x14ac:dyDescent="0.25">
      <c r="AK149" s="23">
        <v>89</v>
      </c>
      <c r="AL149" s="18" t="str">
        <f t="shared" si="28"/>
        <v/>
      </c>
      <c r="AM149" s="114" t="e">
        <f t="shared" si="30"/>
        <v>#N/A</v>
      </c>
      <c r="AN149" s="114" t="e">
        <f t="shared" si="30"/>
        <v>#N/A</v>
      </c>
      <c r="AO149" s="114" t="e">
        <f t="shared" si="30"/>
        <v>#N/A</v>
      </c>
      <c r="AP149" s="113" t="e">
        <f t="shared" si="30"/>
        <v>#N/A</v>
      </c>
      <c r="AQ149" s="18" t="e">
        <f>NA()</f>
        <v>#N/A</v>
      </c>
      <c r="AR149" s="23"/>
      <c r="AU149" s="114" t="e">
        <f t="shared" si="29"/>
        <v>#N/A</v>
      </c>
      <c r="AV149" s="114" t="e">
        <f t="shared" si="31"/>
        <v>#N/A</v>
      </c>
      <c r="AW149" s="113" t="e">
        <f t="shared" si="31"/>
        <v>#N/A</v>
      </c>
    </row>
    <row r="150" spans="37:49" x14ac:dyDescent="0.25">
      <c r="AK150" s="23">
        <v>90</v>
      </c>
      <c r="AL150" s="18" t="str">
        <f t="shared" si="28"/>
        <v/>
      </c>
      <c r="AM150" s="114" t="e">
        <f t="shared" si="30"/>
        <v>#N/A</v>
      </c>
      <c r="AN150" s="114" t="e">
        <f t="shared" si="30"/>
        <v>#N/A</v>
      </c>
      <c r="AO150" s="114" t="e">
        <f t="shared" si="30"/>
        <v>#N/A</v>
      </c>
      <c r="AP150" s="113" t="e">
        <f t="shared" si="30"/>
        <v>#N/A</v>
      </c>
      <c r="AQ150" s="18" t="e">
        <f>NA()</f>
        <v>#N/A</v>
      </c>
      <c r="AR150" s="23"/>
      <c r="AU150" s="114" t="e">
        <f t="shared" si="29"/>
        <v>#N/A</v>
      </c>
      <c r="AV150" s="114" t="e">
        <f t="shared" si="31"/>
        <v>#N/A</v>
      </c>
      <c r="AW150" s="113" t="e">
        <f t="shared" si="31"/>
        <v>#N/A</v>
      </c>
    </row>
    <row r="151" spans="37:49" x14ac:dyDescent="0.25">
      <c r="AK151" s="23">
        <v>91</v>
      </c>
      <c r="AL151" s="18" t="str">
        <f t="shared" si="28"/>
        <v/>
      </c>
      <c r="AM151" s="114" t="e">
        <f t="shared" si="30"/>
        <v>#N/A</v>
      </c>
      <c r="AN151" s="114" t="e">
        <f t="shared" si="30"/>
        <v>#N/A</v>
      </c>
      <c r="AO151" s="114" t="e">
        <f t="shared" si="30"/>
        <v>#N/A</v>
      </c>
      <c r="AP151" s="113" t="e">
        <f t="shared" si="30"/>
        <v>#N/A</v>
      </c>
      <c r="AQ151" s="18" t="e">
        <f>NA()</f>
        <v>#N/A</v>
      </c>
      <c r="AR151" s="23"/>
      <c r="AU151" s="114" t="e">
        <f t="shared" si="29"/>
        <v>#N/A</v>
      </c>
      <c r="AV151" s="114" t="e">
        <f t="shared" si="31"/>
        <v>#N/A</v>
      </c>
      <c r="AW151" s="113" t="e">
        <f t="shared" si="31"/>
        <v>#N/A</v>
      </c>
    </row>
    <row r="152" spans="37:49" x14ac:dyDescent="0.25">
      <c r="AK152" s="23">
        <v>92</v>
      </c>
      <c r="AL152" s="18" t="str">
        <f t="shared" si="28"/>
        <v/>
      </c>
      <c r="AM152" s="114" t="e">
        <f t="shared" si="30"/>
        <v>#N/A</v>
      </c>
      <c r="AN152" s="114" t="e">
        <f t="shared" si="30"/>
        <v>#N/A</v>
      </c>
      <c r="AO152" s="114" t="e">
        <f t="shared" si="30"/>
        <v>#N/A</v>
      </c>
      <c r="AP152" s="113" t="e">
        <f t="shared" si="30"/>
        <v>#N/A</v>
      </c>
      <c r="AQ152" s="18" t="e">
        <f>NA()</f>
        <v>#N/A</v>
      </c>
      <c r="AR152" s="23"/>
      <c r="AU152" s="114" t="e">
        <f t="shared" si="29"/>
        <v>#N/A</v>
      </c>
      <c r="AV152" s="114" t="e">
        <f t="shared" si="31"/>
        <v>#N/A</v>
      </c>
      <c r="AW152" s="113" t="e">
        <f t="shared" si="31"/>
        <v>#N/A</v>
      </c>
    </row>
    <row r="153" spans="37:49" x14ac:dyDescent="0.25">
      <c r="AK153" s="23">
        <v>93</v>
      </c>
      <c r="AL153" s="18" t="str">
        <f t="shared" si="28"/>
        <v/>
      </c>
      <c r="AM153" s="114" t="e">
        <f t="shared" si="30"/>
        <v>#N/A</v>
      </c>
      <c r="AN153" s="114" t="e">
        <f t="shared" si="30"/>
        <v>#N/A</v>
      </c>
      <c r="AO153" s="114" t="e">
        <f t="shared" si="30"/>
        <v>#N/A</v>
      </c>
      <c r="AP153" s="113" t="e">
        <f t="shared" si="30"/>
        <v>#N/A</v>
      </c>
      <c r="AQ153" s="18" t="e">
        <f>NA()</f>
        <v>#N/A</v>
      </c>
      <c r="AR153" s="23"/>
      <c r="AU153" s="114" t="e">
        <f t="shared" si="29"/>
        <v>#N/A</v>
      </c>
      <c r="AV153" s="114" t="e">
        <f t="shared" si="31"/>
        <v>#N/A</v>
      </c>
      <c r="AW153" s="113" t="e">
        <f t="shared" si="31"/>
        <v>#N/A</v>
      </c>
    </row>
    <row r="154" spans="37:49" x14ac:dyDescent="0.25">
      <c r="AK154" s="23">
        <v>94</v>
      </c>
      <c r="AL154" s="18" t="str">
        <f t="shared" si="28"/>
        <v/>
      </c>
      <c r="AM154" s="114" t="e">
        <f t="shared" si="30"/>
        <v>#N/A</v>
      </c>
      <c r="AN154" s="114" t="e">
        <f t="shared" si="30"/>
        <v>#N/A</v>
      </c>
      <c r="AO154" s="114" t="e">
        <f t="shared" si="30"/>
        <v>#N/A</v>
      </c>
      <c r="AP154" s="113" t="e">
        <f t="shared" si="30"/>
        <v>#N/A</v>
      </c>
      <c r="AQ154" s="18" t="e">
        <f>NA()</f>
        <v>#N/A</v>
      </c>
      <c r="AR154" s="23"/>
      <c r="AU154" s="114" t="e">
        <f t="shared" si="29"/>
        <v>#N/A</v>
      </c>
      <c r="AV154" s="114" t="e">
        <f t="shared" si="31"/>
        <v>#N/A</v>
      </c>
      <c r="AW154" s="113" t="e">
        <f t="shared" si="31"/>
        <v>#N/A</v>
      </c>
    </row>
    <row r="155" spans="37:49" x14ac:dyDescent="0.25">
      <c r="AK155" s="23">
        <v>95</v>
      </c>
      <c r="AL155" s="18" t="str">
        <f t="shared" si="28"/>
        <v/>
      </c>
      <c r="AM155" s="114" t="e">
        <f t="shared" si="30"/>
        <v>#N/A</v>
      </c>
      <c r="AN155" s="114" t="e">
        <f t="shared" si="30"/>
        <v>#N/A</v>
      </c>
      <c r="AO155" s="114" t="e">
        <f t="shared" si="30"/>
        <v>#N/A</v>
      </c>
      <c r="AP155" s="113" t="e">
        <f t="shared" si="30"/>
        <v>#N/A</v>
      </c>
      <c r="AQ155" s="18" t="e">
        <f>NA()</f>
        <v>#N/A</v>
      </c>
      <c r="AR155" s="23"/>
      <c r="AU155" s="114" t="e">
        <f t="shared" si="29"/>
        <v>#N/A</v>
      </c>
      <c r="AV155" s="114" t="e">
        <f t="shared" si="31"/>
        <v>#N/A</v>
      </c>
      <c r="AW155" s="113" t="e">
        <f t="shared" si="31"/>
        <v>#N/A</v>
      </c>
    </row>
    <row r="156" spans="37:49" x14ac:dyDescent="0.25">
      <c r="AK156" s="23">
        <v>96</v>
      </c>
      <c r="AL156" s="18" t="str">
        <f t="shared" ref="AL156:AL187" si="32">IF(ISNA(VLOOKUP($AK156,$AK$43:$AP$56,AL$59,FALSE)),"",VLOOKUP($AK156,$AK$43:$AP$56,AL$59,FALSE))</f>
        <v>1 in.</v>
      </c>
      <c r="AM156" s="114" t="str">
        <f t="shared" si="30"/>
        <v/>
      </c>
      <c r="AN156" s="114" t="e">
        <f t="shared" si="30"/>
        <v>#N/A</v>
      </c>
      <c r="AO156" s="114" t="e">
        <f t="shared" si="30"/>
        <v>#N/A</v>
      </c>
      <c r="AP156" s="113" t="e">
        <f t="shared" si="30"/>
        <v>#N/A</v>
      </c>
      <c r="AQ156" s="115">
        <f>AQ67</f>
        <v>1</v>
      </c>
      <c r="AR156" s="23"/>
      <c r="AU156" s="114" t="e">
        <f t="shared" si="29"/>
        <v>#DIV/0!</v>
      </c>
      <c r="AV156" s="114" t="e">
        <f t="shared" si="31"/>
        <v>#DIV/0!</v>
      </c>
      <c r="AW156" s="113" t="str">
        <f t="shared" si="31"/>
        <v/>
      </c>
    </row>
    <row r="157" spans="37:49" x14ac:dyDescent="0.25">
      <c r="AK157" s="23">
        <v>97</v>
      </c>
      <c r="AL157" s="18" t="str">
        <f t="shared" si="32"/>
        <v/>
      </c>
      <c r="AM157" s="114" t="e">
        <f t="shared" si="30"/>
        <v>#N/A</v>
      </c>
      <c r="AN157" s="114" t="e">
        <f t="shared" si="30"/>
        <v>#N/A</v>
      </c>
      <c r="AO157" s="114" t="e">
        <f t="shared" si="30"/>
        <v>#N/A</v>
      </c>
      <c r="AP157" s="113" t="e">
        <f t="shared" si="30"/>
        <v>#N/A</v>
      </c>
      <c r="AQ157" s="18" t="e">
        <f>NA()</f>
        <v>#N/A</v>
      </c>
      <c r="AR157" s="23"/>
      <c r="AU157" s="114" t="e">
        <f t="shared" ref="AU157:AU188" si="33">IF(ISBLANK(VLOOKUP($AK157,$AK$43:$AU$56,AU$59,FALSE)),NA(),VLOOKUP($AK157,$AK$43:$AU$56,AU$59,FALSE))</f>
        <v>#N/A</v>
      </c>
      <c r="AV157" s="114" t="e">
        <f t="shared" si="31"/>
        <v>#N/A</v>
      </c>
      <c r="AW157" s="113" t="e">
        <f t="shared" si="31"/>
        <v>#N/A</v>
      </c>
    </row>
    <row r="158" spans="37:49" x14ac:dyDescent="0.25">
      <c r="AK158" s="23">
        <v>98</v>
      </c>
      <c r="AL158" s="18" t="str">
        <f t="shared" si="32"/>
        <v/>
      </c>
      <c r="AM158" s="114" t="e">
        <f t="shared" si="30"/>
        <v>#N/A</v>
      </c>
      <c r="AN158" s="114" t="e">
        <f t="shared" si="30"/>
        <v>#N/A</v>
      </c>
      <c r="AO158" s="114" t="e">
        <f t="shared" si="30"/>
        <v>#N/A</v>
      </c>
      <c r="AP158" s="113" t="e">
        <f t="shared" si="30"/>
        <v>#N/A</v>
      </c>
      <c r="AQ158" s="18" t="e">
        <f>NA()</f>
        <v>#N/A</v>
      </c>
      <c r="AR158" s="23"/>
      <c r="AU158" s="114" t="e">
        <f t="shared" si="33"/>
        <v>#N/A</v>
      </c>
      <c r="AV158" s="114" t="e">
        <f t="shared" si="31"/>
        <v>#N/A</v>
      </c>
      <c r="AW158" s="113" t="e">
        <f t="shared" si="31"/>
        <v>#N/A</v>
      </c>
    </row>
    <row r="159" spans="37:49" x14ac:dyDescent="0.25">
      <c r="AK159" s="23">
        <v>99</v>
      </c>
      <c r="AL159" s="18" t="str">
        <f t="shared" si="32"/>
        <v/>
      </c>
      <c r="AM159" s="114" t="e">
        <f t="shared" si="30"/>
        <v>#N/A</v>
      </c>
      <c r="AN159" s="114" t="e">
        <f t="shared" si="30"/>
        <v>#N/A</v>
      </c>
      <c r="AO159" s="114" t="e">
        <f t="shared" si="30"/>
        <v>#N/A</v>
      </c>
      <c r="AP159" s="113" t="e">
        <f t="shared" si="30"/>
        <v>#N/A</v>
      </c>
      <c r="AQ159" s="18" t="e">
        <f>NA()</f>
        <v>#N/A</v>
      </c>
      <c r="AR159" s="23"/>
      <c r="AU159" s="114" t="e">
        <f t="shared" si="33"/>
        <v>#N/A</v>
      </c>
      <c r="AV159" s="114" t="e">
        <f t="shared" si="31"/>
        <v>#N/A</v>
      </c>
      <c r="AW159" s="113" t="e">
        <f t="shared" si="31"/>
        <v>#N/A</v>
      </c>
    </row>
    <row r="160" spans="37:49" x14ac:dyDescent="0.25">
      <c r="AK160" s="23">
        <v>100</v>
      </c>
      <c r="AL160" s="18" t="str">
        <f t="shared" si="32"/>
        <v/>
      </c>
      <c r="AM160" s="114" t="e">
        <f t="shared" ref="AM160:AP179" si="34">IF(ISBLANK(VLOOKUP($AK160,$AK$43:$AP$56,AM$59,FALSE)),NA(),VLOOKUP($AK160,$AK$43:$AP$56,AM$59,FALSE))</f>
        <v>#N/A</v>
      </c>
      <c r="AN160" s="114" t="e">
        <f t="shared" si="34"/>
        <v>#N/A</v>
      </c>
      <c r="AO160" s="114" t="e">
        <f t="shared" si="34"/>
        <v>#N/A</v>
      </c>
      <c r="AP160" s="113" t="e">
        <f t="shared" si="34"/>
        <v>#N/A</v>
      </c>
      <c r="AQ160" s="18" t="e">
        <f>NA()</f>
        <v>#N/A</v>
      </c>
      <c r="AR160" s="23"/>
      <c r="AU160" s="114" t="e">
        <f t="shared" si="33"/>
        <v>#N/A</v>
      </c>
      <c r="AV160" s="114" t="e">
        <f t="shared" si="31"/>
        <v>#N/A</v>
      </c>
      <c r="AW160" s="113" t="e">
        <f t="shared" si="31"/>
        <v>#N/A</v>
      </c>
    </row>
    <row r="161" spans="37:49" x14ac:dyDescent="0.25">
      <c r="AK161" s="23">
        <v>101</v>
      </c>
      <c r="AL161" s="18" t="str">
        <f t="shared" si="32"/>
        <v/>
      </c>
      <c r="AM161" s="114" t="e">
        <f t="shared" si="34"/>
        <v>#N/A</v>
      </c>
      <c r="AN161" s="114" t="e">
        <f t="shared" si="34"/>
        <v>#N/A</v>
      </c>
      <c r="AO161" s="114" t="e">
        <f t="shared" si="34"/>
        <v>#N/A</v>
      </c>
      <c r="AP161" s="113" t="e">
        <f t="shared" si="34"/>
        <v>#N/A</v>
      </c>
      <c r="AQ161" s="18" t="e">
        <f>NA()</f>
        <v>#N/A</v>
      </c>
      <c r="AR161" s="23"/>
      <c r="AU161" s="114" t="e">
        <f t="shared" si="33"/>
        <v>#N/A</v>
      </c>
      <c r="AV161" s="114" t="e">
        <f t="shared" ref="AV161:AW180" si="35">IF(ISBLANK(VLOOKUP($AK161,$AK$43:$AW$56,AV$59,FALSE)),NA(),VLOOKUP($AK161,$AK$43:$AW$56,AV$59,FALSE))</f>
        <v>#N/A</v>
      </c>
      <c r="AW161" s="113" t="e">
        <f t="shared" si="35"/>
        <v>#N/A</v>
      </c>
    </row>
    <row r="162" spans="37:49" x14ac:dyDescent="0.25">
      <c r="AK162" s="23">
        <v>102</v>
      </c>
      <c r="AL162" s="18" t="str">
        <f t="shared" si="32"/>
        <v/>
      </c>
      <c r="AM162" s="114" t="e">
        <f t="shared" si="34"/>
        <v>#N/A</v>
      </c>
      <c r="AN162" s="114" t="e">
        <f t="shared" si="34"/>
        <v>#N/A</v>
      </c>
      <c r="AO162" s="114" t="e">
        <f t="shared" si="34"/>
        <v>#N/A</v>
      </c>
      <c r="AP162" s="113" t="e">
        <f t="shared" si="34"/>
        <v>#N/A</v>
      </c>
      <c r="AQ162" s="18" t="e">
        <f>NA()</f>
        <v>#N/A</v>
      </c>
      <c r="AR162" s="23"/>
      <c r="AU162" s="114" t="e">
        <f t="shared" si="33"/>
        <v>#N/A</v>
      </c>
      <c r="AV162" s="114" t="e">
        <f t="shared" si="35"/>
        <v>#N/A</v>
      </c>
      <c r="AW162" s="113" t="e">
        <f t="shared" si="35"/>
        <v>#N/A</v>
      </c>
    </row>
    <row r="163" spans="37:49" x14ac:dyDescent="0.25">
      <c r="AK163" s="23">
        <v>103</v>
      </c>
      <c r="AL163" s="18" t="str">
        <f t="shared" si="32"/>
        <v/>
      </c>
      <c r="AM163" s="114" t="e">
        <f t="shared" si="34"/>
        <v>#N/A</v>
      </c>
      <c r="AN163" s="114" t="e">
        <f t="shared" si="34"/>
        <v>#N/A</v>
      </c>
      <c r="AO163" s="114" t="e">
        <f t="shared" si="34"/>
        <v>#N/A</v>
      </c>
      <c r="AP163" s="113" t="e">
        <f t="shared" si="34"/>
        <v>#N/A</v>
      </c>
      <c r="AQ163" s="18" t="e">
        <f>NA()</f>
        <v>#N/A</v>
      </c>
      <c r="AR163" s="23"/>
      <c r="AU163" s="114" t="e">
        <f t="shared" si="33"/>
        <v>#N/A</v>
      </c>
      <c r="AV163" s="114" t="e">
        <f t="shared" si="35"/>
        <v>#N/A</v>
      </c>
      <c r="AW163" s="113" t="e">
        <f t="shared" si="35"/>
        <v>#N/A</v>
      </c>
    </row>
    <row r="164" spans="37:49" x14ac:dyDescent="0.25">
      <c r="AK164" s="23">
        <v>104</v>
      </c>
      <c r="AL164" s="18" t="str">
        <f t="shared" si="32"/>
        <v/>
      </c>
      <c r="AM164" s="114" t="e">
        <f t="shared" si="34"/>
        <v>#N/A</v>
      </c>
      <c r="AN164" s="114" t="e">
        <f t="shared" si="34"/>
        <v>#N/A</v>
      </c>
      <c r="AO164" s="114" t="e">
        <f t="shared" si="34"/>
        <v>#N/A</v>
      </c>
      <c r="AP164" s="113" t="e">
        <f t="shared" si="34"/>
        <v>#N/A</v>
      </c>
      <c r="AQ164" s="18" t="e">
        <f>NA()</f>
        <v>#N/A</v>
      </c>
      <c r="AR164" s="23"/>
      <c r="AU164" s="114" t="e">
        <f t="shared" si="33"/>
        <v>#N/A</v>
      </c>
      <c r="AV164" s="114" t="e">
        <f t="shared" si="35"/>
        <v>#N/A</v>
      </c>
      <c r="AW164" s="113" t="e">
        <f t="shared" si="35"/>
        <v>#N/A</v>
      </c>
    </row>
    <row r="165" spans="37:49" x14ac:dyDescent="0.25">
      <c r="AK165" s="23">
        <v>105</v>
      </c>
      <c r="AL165" s="18" t="str">
        <f t="shared" si="32"/>
        <v/>
      </c>
      <c r="AM165" s="114" t="e">
        <f t="shared" si="34"/>
        <v>#N/A</v>
      </c>
      <c r="AN165" s="114" t="e">
        <f t="shared" si="34"/>
        <v>#N/A</v>
      </c>
      <c r="AO165" s="114" t="e">
        <f t="shared" si="34"/>
        <v>#N/A</v>
      </c>
      <c r="AP165" s="113" t="e">
        <f t="shared" si="34"/>
        <v>#N/A</v>
      </c>
      <c r="AQ165" s="18" t="e">
        <f>NA()</f>
        <v>#N/A</v>
      </c>
      <c r="AR165" s="23"/>
      <c r="AU165" s="114" t="e">
        <f t="shared" si="33"/>
        <v>#N/A</v>
      </c>
      <c r="AV165" s="114" t="e">
        <f t="shared" si="35"/>
        <v>#N/A</v>
      </c>
      <c r="AW165" s="113" t="e">
        <f t="shared" si="35"/>
        <v>#N/A</v>
      </c>
    </row>
    <row r="166" spans="37:49" x14ac:dyDescent="0.25">
      <c r="AK166" s="23">
        <v>106</v>
      </c>
      <c r="AL166" s="18" t="str">
        <f t="shared" si="32"/>
        <v/>
      </c>
      <c r="AM166" s="114" t="e">
        <f t="shared" si="34"/>
        <v>#N/A</v>
      </c>
      <c r="AN166" s="114" t="e">
        <f t="shared" si="34"/>
        <v>#N/A</v>
      </c>
      <c r="AO166" s="114" t="e">
        <f t="shared" si="34"/>
        <v>#N/A</v>
      </c>
      <c r="AP166" s="113" t="e">
        <f t="shared" si="34"/>
        <v>#N/A</v>
      </c>
      <c r="AQ166" s="18" t="e">
        <f>NA()</f>
        <v>#N/A</v>
      </c>
      <c r="AR166" s="23"/>
      <c r="AU166" s="114" t="e">
        <f t="shared" si="33"/>
        <v>#N/A</v>
      </c>
      <c r="AV166" s="114" t="e">
        <f t="shared" si="35"/>
        <v>#N/A</v>
      </c>
      <c r="AW166" s="113" t="e">
        <f t="shared" si="35"/>
        <v>#N/A</v>
      </c>
    </row>
    <row r="167" spans="37:49" x14ac:dyDescent="0.25">
      <c r="AK167" s="23">
        <v>107</v>
      </c>
      <c r="AL167" s="18" t="str">
        <f t="shared" si="32"/>
        <v/>
      </c>
      <c r="AM167" s="114" t="e">
        <f t="shared" si="34"/>
        <v>#N/A</v>
      </c>
      <c r="AN167" s="114" t="e">
        <f t="shared" si="34"/>
        <v>#N/A</v>
      </c>
      <c r="AO167" s="114" t="e">
        <f t="shared" si="34"/>
        <v>#N/A</v>
      </c>
      <c r="AP167" s="113" t="e">
        <f t="shared" si="34"/>
        <v>#N/A</v>
      </c>
      <c r="AQ167" s="18" t="e">
        <f>NA()</f>
        <v>#N/A</v>
      </c>
      <c r="AR167" s="23"/>
      <c r="AU167" s="114" t="e">
        <f t="shared" si="33"/>
        <v>#N/A</v>
      </c>
      <c r="AV167" s="114" t="e">
        <f t="shared" si="35"/>
        <v>#N/A</v>
      </c>
      <c r="AW167" s="113" t="e">
        <f t="shared" si="35"/>
        <v>#N/A</v>
      </c>
    </row>
    <row r="168" spans="37:49" x14ac:dyDescent="0.25">
      <c r="AK168" s="23">
        <v>108</v>
      </c>
      <c r="AL168" s="18" t="str">
        <f t="shared" si="32"/>
        <v/>
      </c>
      <c r="AM168" s="114" t="e">
        <f t="shared" si="34"/>
        <v>#N/A</v>
      </c>
      <c r="AN168" s="114" t="e">
        <f t="shared" si="34"/>
        <v>#N/A</v>
      </c>
      <c r="AO168" s="114" t="e">
        <f t="shared" si="34"/>
        <v>#N/A</v>
      </c>
      <c r="AP168" s="113" t="e">
        <f t="shared" si="34"/>
        <v>#N/A</v>
      </c>
      <c r="AQ168" s="18" t="e">
        <f>NA()</f>
        <v>#N/A</v>
      </c>
      <c r="AR168" s="23"/>
      <c r="AU168" s="114" t="e">
        <f t="shared" si="33"/>
        <v>#N/A</v>
      </c>
      <c r="AV168" s="114" t="e">
        <f t="shared" si="35"/>
        <v>#N/A</v>
      </c>
      <c r="AW168" s="113" t="e">
        <f t="shared" si="35"/>
        <v>#N/A</v>
      </c>
    </row>
    <row r="169" spans="37:49" x14ac:dyDescent="0.25">
      <c r="AK169" s="23">
        <v>109</v>
      </c>
      <c r="AL169" s="18" t="str">
        <f t="shared" si="32"/>
        <v/>
      </c>
      <c r="AM169" s="114" t="e">
        <f t="shared" si="34"/>
        <v>#N/A</v>
      </c>
      <c r="AN169" s="114" t="e">
        <f t="shared" si="34"/>
        <v>#N/A</v>
      </c>
      <c r="AO169" s="114" t="e">
        <f t="shared" si="34"/>
        <v>#N/A</v>
      </c>
      <c r="AP169" s="113" t="e">
        <f t="shared" si="34"/>
        <v>#N/A</v>
      </c>
      <c r="AQ169" s="18" t="e">
        <f>NA()</f>
        <v>#N/A</v>
      </c>
      <c r="AR169" s="23"/>
      <c r="AU169" s="114" t="e">
        <f t="shared" si="33"/>
        <v>#N/A</v>
      </c>
      <c r="AV169" s="114" t="e">
        <f t="shared" si="35"/>
        <v>#N/A</v>
      </c>
      <c r="AW169" s="113" t="e">
        <f t="shared" si="35"/>
        <v>#N/A</v>
      </c>
    </row>
    <row r="170" spans="37:49" x14ac:dyDescent="0.25">
      <c r="AK170" s="23">
        <v>110</v>
      </c>
      <c r="AL170" s="18" t="str">
        <f t="shared" si="32"/>
        <v/>
      </c>
      <c r="AM170" s="114" t="e">
        <f t="shared" si="34"/>
        <v>#N/A</v>
      </c>
      <c r="AN170" s="114" t="e">
        <f t="shared" si="34"/>
        <v>#N/A</v>
      </c>
      <c r="AO170" s="114" t="e">
        <f t="shared" si="34"/>
        <v>#N/A</v>
      </c>
      <c r="AP170" s="113" t="e">
        <f t="shared" si="34"/>
        <v>#N/A</v>
      </c>
      <c r="AQ170" s="18" t="e">
        <f>NA()</f>
        <v>#N/A</v>
      </c>
      <c r="AR170" s="23"/>
      <c r="AU170" s="114" t="e">
        <f t="shared" si="33"/>
        <v>#N/A</v>
      </c>
      <c r="AV170" s="114" t="e">
        <f t="shared" si="35"/>
        <v>#N/A</v>
      </c>
      <c r="AW170" s="113" t="e">
        <f t="shared" si="35"/>
        <v>#N/A</v>
      </c>
    </row>
    <row r="171" spans="37:49" x14ac:dyDescent="0.25">
      <c r="AK171" s="23">
        <v>111</v>
      </c>
      <c r="AL171" s="18" t="str">
        <f t="shared" si="32"/>
        <v/>
      </c>
      <c r="AM171" s="114" t="e">
        <f t="shared" si="34"/>
        <v>#N/A</v>
      </c>
      <c r="AN171" s="114" t="e">
        <f t="shared" si="34"/>
        <v>#N/A</v>
      </c>
      <c r="AO171" s="114" t="e">
        <f t="shared" si="34"/>
        <v>#N/A</v>
      </c>
      <c r="AP171" s="113" t="e">
        <f t="shared" si="34"/>
        <v>#N/A</v>
      </c>
      <c r="AQ171" s="18" t="e">
        <f>NA()</f>
        <v>#N/A</v>
      </c>
      <c r="AR171" s="23"/>
      <c r="AU171" s="114" t="e">
        <f t="shared" si="33"/>
        <v>#N/A</v>
      </c>
      <c r="AV171" s="114" t="e">
        <f t="shared" si="35"/>
        <v>#N/A</v>
      </c>
      <c r="AW171" s="113" t="e">
        <f t="shared" si="35"/>
        <v>#N/A</v>
      </c>
    </row>
    <row r="172" spans="37:49" x14ac:dyDescent="0.25">
      <c r="AK172" s="23">
        <v>112</v>
      </c>
      <c r="AL172" s="18" t="str">
        <f t="shared" si="32"/>
        <v/>
      </c>
      <c r="AM172" s="114" t="e">
        <f t="shared" si="34"/>
        <v>#N/A</v>
      </c>
      <c r="AN172" s="114" t="e">
        <f t="shared" si="34"/>
        <v>#N/A</v>
      </c>
      <c r="AO172" s="114" t="e">
        <f t="shared" si="34"/>
        <v>#N/A</v>
      </c>
      <c r="AP172" s="113" t="e">
        <f t="shared" si="34"/>
        <v>#N/A</v>
      </c>
      <c r="AQ172" s="18" t="e">
        <f>NA()</f>
        <v>#N/A</v>
      </c>
      <c r="AR172" s="23"/>
      <c r="AU172" s="114" t="e">
        <f t="shared" si="33"/>
        <v>#N/A</v>
      </c>
      <c r="AV172" s="114" t="e">
        <f t="shared" si="35"/>
        <v>#N/A</v>
      </c>
      <c r="AW172" s="113" t="e">
        <f t="shared" si="35"/>
        <v>#N/A</v>
      </c>
    </row>
    <row r="173" spans="37:49" x14ac:dyDescent="0.25">
      <c r="AK173" s="23">
        <v>113</v>
      </c>
      <c r="AL173" s="18" t="str">
        <f t="shared" si="32"/>
        <v/>
      </c>
      <c r="AM173" s="114" t="e">
        <f t="shared" si="34"/>
        <v>#N/A</v>
      </c>
      <c r="AN173" s="114" t="e">
        <f t="shared" si="34"/>
        <v>#N/A</v>
      </c>
      <c r="AO173" s="114" t="e">
        <f t="shared" si="34"/>
        <v>#N/A</v>
      </c>
      <c r="AP173" s="113" t="e">
        <f t="shared" si="34"/>
        <v>#N/A</v>
      </c>
      <c r="AQ173" s="18" t="e">
        <f>NA()</f>
        <v>#N/A</v>
      </c>
      <c r="AR173" s="23"/>
      <c r="AU173" s="114" t="e">
        <f t="shared" si="33"/>
        <v>#N/A</v>
      </c>
      <c r="AV173" s="114" t="e">
        <f t="shared" si="35"/>
        <v>#N/A</v>
      </c>
      <c r="AW173" s="113" t="e">
        <f t="shared" si="35"/>
        <v>#N/A</v>
      </c>
    </row>
    <row r="174" spans="37:49" x14ac:dyDescent="0.25">
      <c r="AK174" s="23">
        <v>114</v>
      </c>
      <c r="AL174" s="18" t="str">
        <f t="shared" si="32"/>
        <v/>
      </c>
      <c r="AM174" s="114" t="e">
        <f t="shared" si="34"/>
        <v>#N/A</v>
      </c>
      <c r="AN174" s="114" t="e">
        <f t="shared" si="34"/>
        <v>#N/A</v>
      </c>
      <c r="AO174" s="114" t="e">
        <f t="shared" si="34"/>
        <v>#N/A</v>
      </c>
      <c r="AP174" s="113" t="e">
        <f t="shared" si="34"/>
        <v>#N/A</v>
      </c>
      <c r="AQ174" s="18" t="e">
        <f>NA()</f>
        <v>#N/A</v>
      </c>
      <c r="AR174" s="23"/>
      <c r="AU174" s="114" t="e">
        <f t="shared" si="33"/>
        <v>#N/A</v>
      </c>
      <c r="AV174" s="114" t="e">
        <f t="shared" si="35"/>
        <v>#N/A</v>
      </c>
      <c r="AW174" s="113" t="e">
        <f t="shared" si="35"/>
        <v>#N/A</v>
      </c>
    </row>
    <row r="175" spans="37:49" x14ac:dyDescent="0.25">
      <c r="AK175" s="23">
        <v>115</v>
      </c>
      <c r="AL175" s="18" t="str">
        <f t="shared" si="32"/>
        <v>1 1/2 in.</v>
      </c>
      <c r="AM175" s="114" t="str">
        <f t="shared" si="34"/>
        <v/>
      </c>
      <c r="AN175" s="114" t="e">
        <f t="shared" si="34"/>
        <v>#N/A</v>
      </c>
      <c r="AO175" s="114" t="e">
        <f t="shared" si="34"/>
        <v>#N/A</v>
      </c>
      <c r="AP175" s="113" t="e">
        <f t="shared" si="34"/>
        <v>#N/A</v>
      </c>
      <c r="AQ175" s="115">
        <f>AQ67</f>
        <v>1</v>
      </c>
      <c r="AR175" s="23"/>
      <c r="AU175" s="114" t="e">
        <f t="shared" si="33"/>
        <v>#DIV/0!</v>
      </c>
      <c r="AV175" s="114" t="e">
        <f t="shared" si="35"/>
        <v>#DIV/0!</v>
      </c>
      <c r="AW175" s="113" t="str">
        <f t="shared" si="35"/>
        <v/>
      </c>
    </row>
    <row r="176" spans="37:49" x14ac:dyDescent="0.25">
      <c r="AK176" s="23">
        <v>116</v>
      </c>
      <c r="AL176" s="18" t="str">
        <f t="shared" si="32"/>
        <v/>
      </c>
      <c r="AM176" s="114" t="e">
        <f t="shared" si="34"/>
        <v>#N/A</v>
      </c>
      <c r="AN176" s="114" t="e">
        <f t="shared" si="34"/>
        <v>#N/A</v>
      </c>
      <c r="AO176" s="114" t="e">
        <f t="shared" si="34"/>
        <v>#N/A</v>
      </c>
      <c r="AP176" s="113" t="e">
        <f t="shared" si="34"/>
        <v>#N/A</v>
      </c>
      <c r="AQ176" s="18" t="e">
        <f>NA()</f>
        <v>#N/A</v>
      </c>
      <c r="AR176" s="23"/>
      <c r="AU176" s="114" t="e">
        <f t="shared" si="33"/>
        <v>#N/A</v>
      </c>
      <c r="AV176" s="114" t="e">
        <f t="shared" si="35"/>
        <v>#N/A</v>
      </c>
      <c r="AW176" s="113" t="e">
        <f t="shared" si="35"/>
        <v>#N/A</v>
      </c>
    </row>
    <row r="177" spans="37:49" x14ac:dyDescent="0.25">
      <c r="AK177" s="23">
        <v>117</v>
      </c>
      <c r="AL177" s="18" t="str">
        <f t="shared" si="32"/>
        <v/>
      </c>
      <c r="AM177" s="114" t="e">
        <f t="shared" si="34"/>
        <v>#N/A</v>
      </c>
      <c r="AN177" s="114" t="e">
        <f t="shared" si="34"/>
        <v>#N/A</v>
      </c>
      <c r="AO177" s="114" t="e">
        <f t="shared" si="34"/>
        <v>#N/A</v>
      </c>
      <c r="AP177" s="113" t="e">
        <f t="shared" si="34"/>
        <v>#N/A</v>
      </c>
      <c r="AQ177" s="18" t="e">
        <f>NA()</f>
        <v>#N/A</v>
      </c>
      <c r="AR177" s="23"/>
      <c r="AU177" s="114" t="e">
        <f t="shared" si="33"/>
        <v>#N/A</v>
      </c>
      <c r="AV177" s="114" t="e">
        <f t="shared" si="35"/>
        <v>#N/A</v>
      </c>
      <c r="AW177" s="113" t="e">
        <f t="shared" si="35"/>
        <v>#N/A</v>
      </c>
    </row>
    <row r="178" spans="37:49" x14ac:dyDescent="0.25">
      <c r="AK178" s="23">
        <v>118</v>
      </c>
      <c r="AL178" s="18" t="str">
        <f t="shared" si="32"/>
        <v/>
      </c>
      <c r="AM178" s="114" t="e">
        <f t="shared" si="34"/>
        <v>#N/A</v>
      </c>
      <c r="AN178" s="114" t="e">
        <f t="shared" si="34"/>
        <v>#N/A</v>
      </c>
      <c r="AO178" s="114" t="e">
        <f t="shared" si="34"/>
        <v>#N/A</v>
      </c>
      <c r="AP178" s="113" t="e">
        <f t="shared" si="34"/>
        <v>#N/A</v>
      </c>
      <c r="AQ178" s="18" t="e">
        <f>NA()</f>
        <v>#N/A</v>
      </c>
      <c r="AR178" s="23"/>
      <c r="AU178" s="114" t="e">
        <f t="shared" si="33"/>
        <v>#N/A</v>
      </c>
      <c r="AV178" s="114" t="e">
        <f t="shared" si="35"/>
        <v>#N/A</v>
      </c>
      <c r="AW178" s="113" t="e">
        <f t="shared" si="35"/>
        <v>#N/A</v>
      </c>
    </row>
    <row r="179" spans="37:49" x14ac:dyDescent="0.25">
      <c r="AK179" s="23">
        <v>119</v>
      </c>
      <c r="AL179" s="18" t="str">
        <f t="shared" si="32"/>
        <v/>
      </c>
      <c r="AM179" s="114" t="e">
        <f t="shared" si="34"/>
        <v>#N/A</v>
      </c>
      <c r="AN179" s="114" t="e">
        <f t="shared" si="34"/>
        <v>#N/A</v>
      </c>
      <c r="AO179" s="114" t="e">
        <f t="shared" si="34"/>
        <v>#N/A</v>
      </c>
      <c r="AP179" s="113" t="e">
        <f t="shared" si="34"/>
        <v>#N/A</v>
      </c>
      <c r="AQ179" s="18" t="e">
        <f>NA()</f>
        <v>#N/A</v>
      </c>
      <c r="AR179" s="23"/>
      <c r="AU179" s="114" t="e">
        <f t="shared" si="33"/>
        <v>#N/A</v>
      </c>
      <c r="AV179" s="114" t="e">
        <f t="shared" si="35"/>
        <v>#N/A</v>
      </c>
      <c r="AW179" s="113" t="e">
        <f t="shared" si="35"/>
        <v>#N/A</v>
      </c>
    </row>
    <row r="180" spans="37:49" x14ac:dyDescent="0.25">
      <c r="AK180" s="23">
        <v>120</v>
      </c>
      <c r="AL180" s="18" t="str">
        <f t="shared" si="32"/>
        <v/>
      </c>
      <c r="AM180" s="114" t="e">
        <f t="shared" ref="AM180:AP198" si="36">IF(ISBLANK(VLOOKUP($AK180,$AK$43:$AP$56,AM$59,FALSE)),NA(),VLOOKUP($AK180,$AK$43:$AP$56,AM$59,FALSE))</f>
        <v>#N/A</v>
      </c>
      <c r="AN180" s="114" t="e">
        <f t="shared" si="36"/>
        <v>#N/A</v>
      </c>
      <c r="AO180" s="114" t="e">
        <f t="shared" si="36"/>
        <v>#N/A</v>
      </c>
      <c r="AP180" s="113" t="e">
        <f t="shared" si="36"/>
        <v>#N/A</v>
      </c>
      <c r="AQ180" s="18" t="e">
        <f>NA()</f>
        <v>#N/A</v>
      </c>
      <c r="AR180" s="23"/>
      <c r="AU180" s="114" t="e">
        <f t="shared" si="33"/>
        <v>#N/A</v>
      </c>
      <c r="AV180" s="114" t="e">
        <f t="shared" si="35"/>
        <v>#N/A</v>
      </c>
      <c r="AW180" s="113" t="e">
        <f t="shared" si="35"/>
        <v>#N/A</v>
      </c>
    </row>
    <row r="181" spans="37:49" x14ac:dyDescent="0.25">
      <c r="AK181" s="23">
        <v>121</v>
      </c>
      <c r="AL181" s="18" t="str">
        <f t="shared" si="32"/>
        <v/>
      </c>
      <c r="AM181" s="114" t="e">
        <f t="shared" si="36"/>
        <v>#N/A</v>
      </c>
      <c r="AN181" s="114" t="e">
        <f t="shared" si="36"/>
        <v>#N/A</v>
      </c>
      <c r="AO181" s="114" t="e">
        <f t="shared" si="36"/>
        <v>#N/A</v>
      </c>
      <c r="AP181" s="113" t="e">
        <f t="shared" si="36"/>
        <v>#N/A</v>
      </c>
      <c r="AQ181" s="18" t="e">
        <f>NA()</f>
        <v>#N/A</v>
      </c>
      <c r="AR181" s="23"/>
      <c r="AU181" s="114" t="e">
        <f t="shared" si="33"/>
        <v>#N/A</v>
      </c>
      <c r="AV181" s="114" t="e">
        <f t="shared" ref="AV181:AW198" si="37">IF(ISBLANK(VLOOKUP($AK181,$AK$43:$AW$56,AV$59,FALSE)),NA(),VLOOKUP($AK181,$AK$43:$AW$56,AV$59,FALSE))</f>
        <v>#N/A</v>
      </c>
      <c r="AW181" s="113" t="e">
        <f t="shared" si="37"/>
        <v>#N/A</v>
      </c>
    </row>
    <row r="182" spans="37:49" x14ac:dyDescent="0.25">
      <c r="AK182" s="23">
        <v>122</v>
      </c>
      <c r="AL182" s="18" t="str">
        <f t="shared" si="32"/>
        <v/>
      </c>
      <c r="AM182" s="114" t="e">
        <f t="shared" si="36"/>
        <v>#N/A</v>
      </c>
      <c r="AN182" s="114" t="e">
        <f t="shared" si="36"/>
        <v>#N/A</v>
      </c>
      <c r="AO182" s="114" t="e">
        <f t="shared" si="36"/>
        <v>#N/A</v>
      </c>
      <c r="AP182" s="113" t="e">
        <f t="shared" si="36"/>
        <v>#N/A</v>
      </c>
      <c r="AQ182" s="18" t="e">
        <f>NA()</f>
        <v>#N/A</v>
      </c>
      <c r="AR182" s="23"/>
      <c r="AU182" s="114" t="e">
        <f t="shared" si="33"/>
        <v>#N/A</v>
      </c>
      <c r="AV182" s="114" t="e">
        <f t="shared" si="37"/>
        <v>#N/A</v>
      </c>
      <c r="AW182" s="113" t="e">
        <f t="shared" si="37"/>
        <v>#N/A</v>
      </c>
    </row>
    <row r="183" spans="37:49" x14ac:dyDescent="0.25">
      <c r="AK183" s="23">
        <v>123</v>
      </c>
      <c r="AL183" s="18" t="str">
        <f t="shared" si="32"/>
        <v/>
      </c>
      <c r="AM183" s="114" t="e">
        <f t="shared" si="36"/>
        <v>#N/A</v>
      </c>
      <c r="AN183" s="114" t="e">
        <f t="shared" si="36"/>
        <v>#N/A</v>
      </c>
      <c r="AO183" s="114" t="e">
        <f t="shared" si="36"/>
        <v>#N/A</v>
      </c>
      <c r="AP183" s="113" t="e">
        <f t="shared" si="36"/>
        <v>#N/A</v>
      </c>
      <c r="AQ183" s="18" t="e">
        <f>NA()</f>
        <v>#N/A</v>
      </c>
      <c r="AR183" s="23"/>
      <c r="AU183" s="114" t="e">
        <f t="shared" si="33"/>
        <v>#N/A</v>
      </c>
      <c r="AV183" s="114" t="e">
        <f t="shared" si="37"/>
        <v>#N/A</v>
      </c>
      <c r="AW183" s="113" t="e">
        <f t="shared" si="37"/>
        <v>#N/A</v>
      </c>
    </row>
    <row r="184" spans="37:49" x14ac:dyDescent="0.25">
      <c r="AK184" s="23">
        <v>124</v>
      </c>
      <c r="AL184" s="18" t="str">
        <f t="shared" si="32"/>
        <v/>
      </c>
      <c r="AM184" s="114" t="e">
        <f t="shared" si="36"/>
        <v>#N/A</v>
      </c>
      <c r="AN184" s="114" t="e">
        <f t="shared" si="36"/>
        <v>#N/A</v>
      </c>
      <c r="AO184" s="114" t="e">
        <f t="shared" si="36"/>
        <v>#N/A</v>
      </c>
      <c r="AP184" s="113" t="e">
        <f t="shared" si="36"/>
        <v>#N/A</v>
      </c>
      <c r="AQ184" s="18" t="e">
        <f>NA()</f>
        <v>#N/A</v>
      </c>
      <c r="AR184" s="23"/>
      <c r="AU184" s="114" t="e">
        <f t="shared" si="33"/>
        <v>#N/A</v>
      </c>
      <c r="AV184" s="114" t="e">
        <f t="shared" si="37"/>
        <v>#N/A</v>
      </c>
      <c r="AW184" s="113" t="e">
        <f t="shared" si="37"/>
        <v>#N/A</v>
      </c>
    </row>
    <row r="185" spans="37:49" x14ac:dyDescent="0.25">
      <c r="AK185" s="23">
        <v>125</v>
      </c>
      <c r="AL185" s="18" t="str">
        <f t="shared" si="32"/>
        <v/>
      </c>
      <c r="AM185" s="114" t="e">
        <f t="shared" si="36"/>
        <v>#N/A</v>
      </c>
      <c r="AN185" s="114" t="e">
        <f t="shared" si="36"/>
        <v>#N/A</v>
      </c>
      <c r="AO185" s="114" t="e">
        <f t="shared" si="36"/>
        <v>#N/A</v>
      </c>
      <c r="AP185" s="113" t="e">
        <f t="shared" si="36"/>
        <v>#N/A</v>
      </c>
      <c r="AQ185" s="18" t="e">
        <f>NA()</f>
        <v>#N/A</v>
      </c>
      <c r="AR185" s="23"/>
      <c r="AU185" s="114" t="e">
        <f t="shared" si="33"/>
        <v>#N/A</v>
      </c>
      <c r="AV185" s="114" t="e">
        <f t="shared" si="37"/>
        <v>#N/A</v>
      </c>
      <c r="AW185" s="113" t="e">
        <f t="shared" si="37"/>
        <v>#N/A</v>
      </c>
    </row>
    <row r="186" spans="37:49" x14ac:dyDescent="0.25">
      <c r="AK186" s="23">
        <v>126</v>
      </c>
      <c r="AL186" s="18" t="str">
        <f t="shared" si="32"/>
        <v/>
      </c>
      <c r="AM186" s="114" t="e">
        <f t="shared" si="36"/>
        <v>#N/A</v>
      </c>
      <c r="AN186" s="114" t="e">
        <f t="shared" si="36"/>
        <v>#N/A</v>
      </c>
      <c r="AO186" s="114" t="e">
        <f t="shared" si="36"/>
        <v>#N/A</v>
      </c>
      <c r="AP186" s="113" t="e">
        <f t="shared" si="36"/>
        <v>#N/A</v>
      </c>
      <c r="AQ186" s="18" t="e">
        <f>NA()</f>
        <v>#N/A</v>
      </c>
      <c r="AR186" s="23"/>
      <c r="AU186" s="114" t="e">
        <f t="shared" si="33"/>
        <v>#N/A</v>
      </c>
      <c r="AV186" s="114" t="e">
        <f t="shared" si="37"/>
        <v>#N/A</v>
      </c>
      <c r="AW186" s="113" t="e">
        <f t="shared" si="37"/>
        <v>#N/A</v>
      </c>
    </row>
    <row r="187" spans="37:49" x14ac:dyDescent="0.25">
      <c r="AK187" s="23">
        <v>127</v>
      </c>
      <c r="AL187" s="18" t="str">
        <f t="shared" si="32"/>
        <v/>
      </c>
      <c r="AM187" s="114" t="e">
        <f t="shared" si="36"/>
        <v>#N/A</v>
      </c>
      <c r="AN187" s="114" t="e">
        <f t="shared" si="36"/>
        <v>#N/A</v>
      </c>
      <c r="AO187" s="114" t="e">
        <f t="shared" si="36"/>
        <v>#N/A</v>
      </c>
      <c r="AP187" s="113" t="e">
        <f t="shared" si="36"/>
        <v>#N/A</v>
      </c>
      <c r="AQ187" s="18" t="e">
        <f>NA()</f>
        <v>#N/A</v>
      </c>
      <c r="AR187" s="23"/>
      <c r="AU187" s="114" t="e">
        <f t="shared" si="33"/>
        <v>#N/A</v>
      </c>
      <c r="AV187" s="114" t="e">
        <f t="shared" si="37"/>
        <v>#N/A</v>
      </c>
      <c r="AW187" s="113" t="e">
        <f t="shared" si="37"/>
        <v>#N/A</v>
      </c>
    </row>
    <row r="188" spans="37:49" x14ac:dyDescent="0.25">
      <c r="AK188" s="23">
        <v>128</v>
      </c>
      <c r="AL188" s="18" t="str">
        <f t="shared" ref="AL188:AL198" si="38">IF(ISNA(VLOOKUP($AK188,$AK$43:$AP$56,AL$59,FALSE)),"",VLOOKUP($AK188,$AK$43:$AP$56,AL$59,FALSE))</f>
        <v/>
      </c>
      <c r="AM188" s="114" t="e">
        <f t="shared" si="36"/>
        <v>#N/A</v>
      </c>
      <c r="AN188" s="114" t="e">
        <f t="shared" si="36"/>
        <v>#N/A</v>
      </c>
      <c r="AO188" s="114" t="e">
        <f t="shared" si="36"/>
        <v>#N/A</v>
      </c>
      <c r="AP188" s="113" t="e">
        <f t="shared" si="36"/>
        <v>#N/A</v>
      </c>
      <c r="AQ188" s="18" t="e">
        <f>NA()</f>
        <v>#N/A</v>
      </c>
      <c r="AR188" s="23"/>
      <c r="AU188" s="114" t="e">
        <f t="shared" si="33"/>
        <v>#N/A</v>
      </c>
      <c r="AV188" s="114" t="e">
        <f t="shared" si="37"/>
        <v>#N/A</v>
      </c>
      <c r="AW188" s="113" t="e">
        <f t="shared" si="37"/>
        <v>#N/A</v>
      </c>
    </row>
    <row r="189" spans="37:49" x14ac:dyDescent="0.25">
      <c r="AK189" s="23">
        <v>129</v>
      </c>
      <c r="AL189" s="18" t="str">
        <f t="shared" si="38"/>
        <v/>
      </c>
      <c r="AM189" s="114" t="e">
        <f t="shared" si="36"/>
        <v>#N/A</v>
      </c>
      <c r="AN189" s="114" t="e">
        <f t="shared" si="36"/>
        <v>#N/A</v>
      </c>
      <c r="AO189" s="114" t="e">
        <f t="shared" si="36"/>
        <v>#N/A</v>
      </c>
      <c r="AP189" s="113" t="e">
        <f t="shared" si="36"/>
        <v>#N/A</v>
      </c>
      <c r="AQ189" s="18" t="e">
        <f>NA()</f>
        <v>#N/A</v>
      </c>
      <c r="AR189" s="23"/>
      <c r="AU189" s="114" t="e">
        <f t="shared" ref="AU189:AU198" si="39">IF(ISBLANK(VLOOKUP($AK189,$AK$43:$AU$56,AU$59,FALSE)),NA(),VLOOKUP($AK189,$AK$43:$AU$56,AU$59,FALSE))</f>
        <v>#N/A</v>
      </c>
      <c r="AV189" s="114" t="e">
        <f t="shared" si="37"/>
        <v>#N/A</v>
      </c>
      <c r="AW189" s="113" t="e">
        <f t="shared" si="37"/>
        <v>#N/A</v>
      </c>
    </row>
    <row r="190" spans="37:49" x14ac:dyDescent="0.25">
      <c r="AK190" s="23">
        <v>130</v>
      </c>
      <c r="AL190" s="18" t="str">
        <f t="shared" si="38"/>
        <v/>
      </c>
      <c r="AM190" s="114" t="e">
        <f t="shared" si="36"/>
        <v>#N/A</v>
      </c>
      <c r="AN190" s="114" t="e">
        <f t="shared" si="36"/>
        <v>#N/A</v>
      </c>
      <c r="AO190" s="114" t="e">
        <f t="shared" si="36"/>
        <v>#N/A</v>
      </c>
      <c r="AP190" s="113" t="e">
        <f t="shared" si="36"/>
        <v>#N/A</v>
      </c>
      <c r="AQ190" s="18" t="e">
        <f>NA()</f>
        <v>#N/A</v>
      </c>
      <c r="AR190" s="23"/>
      <c r="AU190" s="114" t="e">
        <f t="shared" si="39"/>
        <v>#N/A</v>
      </c>
      <c r="AV190" s="114" t="e">
        <f t="shared" si="37"/>
        <v>#N/A</v>
      </c>
      <c r="AW190" s="113" t="e">
        <f t="shared" si="37"/>
        <v>#N/A</v>
      </c>
    </row>
    <row r="191" spans="37:49" x14ac:dyDescent="0.25">
      <c r="AK191" s="23">
        <v>131</v>
      </c>
      <c r="AL191" s="18" t="str">
        <f t="shared" si="38"/>
        <v>2 in.</v>
      </c>
      <c r="AM191" s="114" t="str">
        <f t="shared" si="36"/>
        <v/>
      </c>
      <c r="AN191" s="114" t="e">
        <f t="shared" si="36"/>
        <v>#N/A</v>
      </c>
      <c r="AO191" s="114" t="e">
        <f t="shared" si="36"/>
        <v>#DIV/0!</v>
      </c>
      <c r="AP191" s="113" t="e">
        <f t="shared" si="36"/>
        <v>#DIV/0!</v>
      </c>
      <c r="AQ191" s="115">
        <f>AQ67</f>
        <v>1</v>
      </c>
      <c r="AR191" s="23"/>
      <c r="AU191" s="114" t="e">
        <f t="shared" si="39"/>
        <v>#DIV/0!</v>
      </c>
      <c r="AV191" s="114" t="e">
        <f t="shared" si="37"/>
        <v>#DIV/0!</v>
      </c>
      <c r="AW191" s="113" t="str">
        <f t="shared" si="37"/>
        <v/>
      </c>
    </row>
    <row r="192" spans="37:49" x14ac:dyDescent="0.25">
      <c r="AK192" s="23">
        <v>132</v>
      </c>
      <c r="AL192" s="18" t="str">
        <f t="shared" si="38"/>
        <v/>
      </c>
      <c r="AM192" s="114" t="e">
        <f t="shared" si="36"/>
        <v>#N/A</v>
      </c>
      <c r="AN192" s="114" t="e">
        <f t="shared" si="36"/>
        <v>#N/A</v>
      </c>
      <c r="AO192" s="114" t="e">
        <f t="shared" si="36"/>
        <v>#N/A</v>
      </c>
      <c r="AP192" s="113" t="e">
        <f t="shared" si="36"/>
        <v>#N/A</v>
      </c>
      <c r="AQ192" s="18" t="e">
        <f>NA()</f>
        <v>#N/A</v>
      </c>
      <c r="AR192" s="23"/>
      <c r="AU192" s="114" t="e">
        <f t="shared" si="39"/>
        <v>#N/A</v>
      </c>
      <c r="AV192" s="114" t="e">
        <f t="shared" si="37"/>
        <v>#N/A</v>
      </c>
      <c r="AW192" s="113" t="e">
        <f t="shared" si="37"/>
        <v>#N/A</v>
      </c>
    </row>
    <row r="193" spans="37:49" x14ac:dyDescent="0.25">
      <c r="AK193" s="23">
        <v>133</v>
      </c>
      <c r="AL193" s="18" t="str">
        <f t="shared" si="38"/>
        <v/>
      </c>
      <c r="AM193" s="114" t="e">
        <f t="shared" si="36"/>
        <v>#N/A</v>
      </c>
      <c r="AN193" s="114" t="e">
        <f t="shared" si="36"/>
        <v>#N/A</v>
      </c>
      <c r="AO193" s="114" t="e">
        <f t="shared" si="36"/>
        <v>#N/A</v>
      </c>
      <c r="AP193" s="113" t="e">
        <f t="shared" si="36"/>
        <v>#N/A</v>
      </c>
      <c r="AQ193" s="18" t="e">
        <f>NA()</f>
        <v>#N/A</v>
      </c>
      <c r="AR193" s="23"/>
      <c r="AU193" s="114" t="e">
        <f t="shared" si="39"/>
        <v>#N/A</v>
      </c>
      <c r="AV193" s="114" t="e">
        <f t="shared" si="37"/>
        <v>#N/A</v>
      </c>
      <c r="AW193" s="113" t="e">
        <f t="shared" si="37"/>
        <v>#N/A</v>
      </c>
    </row>
    <row r="194" spans="37:49" x14ac:dyDescent="0.25">
      <c r="AK194" s="23">
        <v>134</v>
      </c>
      <c r="AL194" s="18" t="str">
        <f t="shared" si="38"/>
        <v/>
      </c>
      <c r="AM194" s="114" t="e">
        <f t="shared" si="36"/>
        <v>#N/A</v>
      </c>
      <c r="AN194" s="114" t="e">
        <f t="shared" si="36"/>
        <v>#N/A</v>
      </c>
      <c r="AO194" s="114" t="e">
        <f t="shared" si="36"/>
        <v>#N/A</v>
      </c>
      <c r="AP194" s="113" t="e">
        <f t="shared" si="36"/>
        <v>#N/A</v>
      </c>
      <c r="AQ194" s="18" t="e">
        <f>NA()</f>
        <v>#N/A</v>
      </c>
      <c r="AR194" s="23"/>
      <c r="AU194" s="114" t="e">
        <f t="shared" si="39"/>
        <v>#N/A</v>
      </c>
      <c r="AV194" s="114" t="e">
        <f t="shared" si="37"/>
        <v>#N/A</v>
      </c>
      <c r="AW194" s="113" t="e">
        <f t="shared" si="37"/>
        <v>#N/A</v>
      </c>
    </row>
    <row r="195" spans="37:49" x14ac:dyDescent="0.25">
      <c r="AK195" s="23">
        <v>135</v>
      </c>
      <c r="AL195" s="18" t="str">
        <f t="shared" si="38"/>
        <v/>
      </c>
      <c r="AM195" s="114" t="e">
        <f t="shared" si="36"/>
        <v>#N/A</v>
      </c>
      <c r="AN195" s="114" t="e">
        <f t="shared" si="36"/>
        <v>#N/A</v>
      </c>
      <c r="AO195" s="114" t="e">
        <f t="shared" si="36"/>
        <v>#N/A</v>
      </c>
      <c r="AP195" s="113" t="e">
        <f t="shared" si="36"/>
        <v>#N/A</v>
      </c>
      <c r="AQ195" s="18" t="e">
        <f>NA()</f>
        <v>#N/A</v>
      </c>
      <c r="AR195" s="23"/>
      <c r="AU195" s="114" t="e">
        <f t="shared" si="39"/>
        <v>#N/A</v>
      </c>
      <c r="AV195" s="114" t="e">
        <f t="shared" si="37"/>
        <v>#N/A</v>
      </c>
      <c r="AW195" s="113" t="e">
        <f t="shared" si="37"/>
        <v>#N/A</v>
      </c>
    </row>
    <row r="196" spans="37:49" x14ac:dyDescent="0.25">
      <c r="AK196" s="23">
        <v>136</v>
      </c>
      <c r="AL196" s="18" t="str">
        <f t="shared" si="38"/>
        <v/>
      </c>
      <c r="AM196" s="114" t="e">
        <f t="shared" si="36"/>
        <v>#N/A</v>
      </c>
      <c r="AN196" s="114" t="e">
        <f t="shared" si="36"/>
        <v>#N/A</v>
      </c>
      <c r="AO196" s="114" t="e">
        <f t="shared" si="36"/>
        <v>#N/A</v>
      </c>
      <c r="AP196" s="113" t="e">
        <f t="shared" si="36"/>
        <v>#N/A</v>
      </c>
      <c r="AQ196" s="18" t="e">
        <f>NA()</f>
        <v>#N/A</v>
      </c>
      <c r="AR196" s="23"/>
      <c r="AU196" s="114" t="e">
        <f t="shared" si="39"/>
        <v>#N/A</v>
      </c>
      <c r="AV196" s="114" t="e">
        <f t="shared" si="37"/>
        <v>#N/A</v>
      </c>
      <c r="AW196" s="113" t="e">
        <f t="shared" si="37"/>
        <v>#N/A</v>
      </c>
    </row>
    <row r="197" spans="37:49" x14ac:dyDescent="0.25">
      <c r="AK197" s="23">
        <v>137</v>
      </c>
      <c r="AL197" s="18" t="str">
        <f t="shared" si="38"/>
        <v/>
      </c>
      <c r="AM197" s="114" t="e">
        <f t="shared" si="36"/>
        <v>#N/A</v>
      </c>
      <c r="AN197" s="114" t="e">
        <f t="shared" si="36"/>
        <v>#N/A</v>
      </c>
      <c r="AO197" s="114" t="e">
        <f t="shared" si="36"/>
        <v>#N/A</v>
      </c>
      <c r="AP197" s="113" t="e">
        <f t="shared" si="36"/>
        <v>#N/A</v>
      </c>
      <c r="AQ197" s="18" t="e">
        <f>NA()</f>
        <v>#N/A</v>
      </c>
      <c r="AR197" s="23"/>
      <c r="AU197" s="114" t="e">
        <f t="shared" si="39"/>
        <v>#N/A</v>
      </c>
      <c r="AV197" s="114" t="e">
        <f t="shared" si="37"/>
        <v>#N/A</v>
      </c>
      <c r="AW197" s="113" t="e">
        <f t="shared" si="37"/>
        <v>#N/A</v>
      </c>
    </row>
    <row r="198" spans="37:49" x14ac:dyDescent="0.25">
      <c r="AK198" s="21">
        <v>138</v>
      </c>
      <c r="AL198" s="20" t="str">
        <f t="shared" si="38"/>
        <v/>
      </c>
      <c r="AM198" s="112" t="e">
        <f t="shared" si="36"/>
        <v>#N/A</v>
      </c>
      <c r="AN198" s="112" t="e">
        <f t="shared" si="36"/>
        <v>#N/A</v>
      </c>
      <c r="AO198" s="112" t="e">
        <f t="shared" si="36"/>
        <v>#N/A</v>
      </c>
      <c r="AP198" s="111" t="e">
        <f t="shared" si="36"/>
        <v>#N/A</v>
      </c>
      <c r="AQ198" s="18" t="e">
        <f>NA()</f>
        <v>#N/A</v>
      </c>
      <c r="AR198" s="21"/>
      <c r="AS198" s="20"/>
      <c r="AT198" s="20"/>
      <c r="AU198" s="112" t="e">
        <f t="shared" si="39"/>
        <v>#N/A</v>
      </c>
      <c r="AV198" s="112" t="e">
        <f t="shared" si="37"/>
        <v>#N/A</v>
      </c>
      <c r="AW198" s="111" t="e">
        <f t="shared" si="37"/>
        <v>#N/A</v>
      </c>
    </row>
  </sheetData>
  <mergeCells count="12">
    <mergeCell ref="Q8:Q20"/>
    <mergeCell ref="R8:R20"/>
    <mergeCell ref="O21:O26"/>
    <mergeCell ref="P21:P26"/>
    <mergeCell ref="Q21:Q26"/>
    <mergeCell ref="R21:R26"/>
    <mergeCell ref="P8:P20"/>
    <mergeCell ref="H7:L7"/>
    <mergeCell ref="H8:L8"/>
    <mergeCell ref="H9:L9"/>
    <mergeCell ref="H10:L10"/>
    <mergeCell ref="O8:O20"/>
  </mergeCells>
  <conditionalFormatting sqref="L30">
    <cfRule type="cellIs" dxfId="5" priority="1" operator="equal">
      <formula>1</formula>
    </cfRule>
  </conditionalFormatting>
  <printOptions horizontalCentered="1" verticalCentered="1"/>
  <pageMargins left="0.7" right="0.7" top="0.75" bottom="0.75" header="0.3" footer="0.3"/>
  <pageSetup scale="90" orientation="portrait" r:id="rId1"/>
  <colBreaks count="1" manualBreakCount="1">
    <brk id="14" min="3" max="51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FB645-D40C-4F9C-8E76-20F4CD5DE977}">
  <sheetPr codeName="Sheet11"/>
  <dimension ref="A2:X52"/>
  <sheetViews>
    <sheetView showGridLines="0" view="pageBreakPreview" topLeftCell="A4" zoomScaleNormal="100" zoomScaleSheetLayoutView="100" workbookViewId="0">
      <selection activeCell="F17" sqref="F17"/>
    </sheetView>
  </sheetViews>
  <sheetFormatPr defaultColWidth="9.140625" defaultRowHeight="15" x14ac:dyDescent="0.25"/>
  <cols>
    <col min="1" max="1" width="9" style="18" customWidth="1"/>
    <col min="2" max="5" width="8.7109375" style="18" customWidth="1"/>
    <col min="6" max="6" width="8.85546875" style="18" customWidth="1"/>
    <col min="7" max="7" width="8.7109375" style="18" customWidth="1"/>
    <col min="8" max="8" width="9.140625" style="18" customWidth="1"/>
    <col min="9" max="9" width="10.28515625" style="18" customWidth="1"/>
    <col min="10" max="10" width="9.7109375" style="18" customWidth="1"/>
    <col min="11" max="11" width="11.42578125" style="18" customWidth="1"/>
    <col min="12" max="15" width="2.28515625" style="18" customWidth="1"/>
    <col min="16" max="24" width="10.140625" style="18" customWidth="1"/>
    <col min="25" max="16384" width="9.140625" style="18"/>
  </cols>
  <sheetData>
    <row r="2" spans="1:24" x14ac:dyDescent="0.25">
      <c r="D2" s="587" t="s">
        <v>185</v>
      </c>
      <c r="E2" s="588"/>
      <c r="F2" s="589"/>
    </row>
    <row r="4" spans="1:24" ht="15" customHeight="1" x14ac:dyDescent="0.25">
      <c r="A4" s="65"/>
      <c r="B4" s="48"/>
      <c r="C4" s="48"/>
      <c r="D4" s="48"/>
      <c r="E4" s="48"/>
      <c r="F4" s="109" t="s">
        <v>101</v>
      </c>
      <c r="G4" s="48"/>
      <c r="H4" s="48"/>
      <c r="I4" s="48"/>
      <c r="J4" s="48"/>
      <c r="K4" s="48"/>
      <c r="L4" s="906"/>
      <c r="M4" s="906"/>
      <c r="N4" s="906"/>
      <c r="O4" s="907"/>
      <c r="P4" s="673"/>
      <c r="X4" s="674"/>
    </row>
    <row r="5" spans="1:24" x14ac:dyDescent="0.25">
      <c r="A5" s="23"/>
      <c r="F5" s="106" t="s">
        <v>100</v>
      </c>
      <c r="L5" s="906"/>
      <c r="M5" s="906"/>
      <c r="N5" s="906"/>
      <c r="O5" s="907"/>
    </row>
    <row r="6" spans="1:24" x14ac:dyDescent="0.25">
      <c r="A6" s="23"/>
      <c r="L6" s="906"/>
      <c r="M6" s="906"/>
      <c r="N6" s="906"/>
      <c r="O6" s="907"/>
    </row>
    <row r="7" spans="1:24" x14ac:dyDescent="0.25">
      <c r="A7" s="23"/>
      <c r="B7" s="105"/>
      <c r="C7" s="104" t="s">
        <v>91</v>
      </c>
      <c r="D7" s="816" t="str">
        <f>IF(ISBLANK('Original Submittal Form'!D30),"",'Original Submittal Form'!D30)</f>
        <v/>
      </c>
      <c r="E7" s="816"/>
      <c r="F7" s="816"/>
      <c r="G7" s="816"/>
      <c r="H7" s="817"/>
      <c r="L7" s="906"/>
      <c r="M7" s="906"/>
      <c r="N7" s="906"/>
      <c r="O7" s="907"/>
    </row>
    <row r="8" spans="1:24" x14ac:dyDescent="0.25">
      <c r="A8" s="23"/>
      <c r="B8" s="103"/>
      <c r="C8" s="102" t="s">
        <v>90</v>
      </c>
      <c r="D8" s="818" t="str">
        <f>IF(ISBLANK('Contractor Mix Design'!D30),"",'Contractor Mix Design'!D30)</f>
        <v/>
      </c>
      <c r="E8" s="818"/>
      <c r="F8" s="818"/>
      <c r="G8" s="818"/>
      <c r="H8" s="819"/>
      <c r="L8" s="906"/>
      <c r="M8" s="906"/>
      <c r="N8" s="906"/>
      <c r="O8" s="907"/>
    </row>
    <row r="9" spans="1:24" x14ac:dyDescent="0.25">
      <c r="A9" s="23"/>
      <c r="B9" s="103"/>
      <c r="C9" s="102" t="s">
        <v>89</v>
      </c>
      <c r="D9" s="818" t="str">
        <f>IF(ISBLANK('Original Submittal Form'!D23),"",'Original Submittal Form'!D23)</f>
        <v/>
      </c>
      <c r="E9" s="818"/>
      <c r="F9" s="818"/>
      <c r="G9" s="818"/>
      <c r="H9" s="819"/>
      <c r="L9" s="906"/>
      <c r="M9" s="906"/>
      <c r="N9" s="906"/>
      <c r="O9" s="907"/>
    </row>
    <row r="10" spans="1:24" x14ac:dyDescent="0.25">
      <c r="A10" s="23"/>
      <c r="B10" s="101"/>
      <c r="C10" s="100" t="s">
        <v>88</v>
      </c>
      <c r="D10" s="820" t="str">
        <f>IF(ISBLANK('Original Submittal Form'!D34),"",'Original Submittal Form'!D34)</f>
        <v/>
      </c>
      <c r="E10" s="820"/>
      <c r="F10" s="820"/>
      <c r="G10" s="820"/>
      <c r="H10" s="821"/>
      <c r="L10" s="906"/>
      <c r="M10" s="906"/>
      <c r="N10" s="906"/>
      <c r="O10" s="907"/>
    </row>
    <row r="11" spans="1:24" x14ac:dyDescent="0.25">
      <c r="A11" s="23"/>
      <c r="L11" s="906"/>
      <c r="M11" s="906"/>
      <c r="N11" s="906"/>
      <c r="O11" s="907"/>
    </row>
    <row r="12" spans="1:24" ht="17.25" x14ac:dyDescent="0.25">
      <c r="A12" s="23"/>
      <c r="D12" s="99"/>
      <c r="E12" s="50"/>
      <c r="F12" s="98" t="s">
        <v>99</v>
      </c>
      <c r="G12" s="576">
        <f>SUM('Contractor Mix Design'!D32:D35)</f>
        <v>0</v>
      </c>
      <c r="H12" s="47" t="s">
        <v>98</v>
      </c>
      <c r="K12" s="20"/>
      <c r="L12" s="906"/>
      <c r="M12" s="906"/>
      <c r="N12" s="906"/>
      <c r="O12" s="907"/>
    </row>
    <row r="13" spans="1:24" x14ac:dyDescent="0.25">
      <c r="A13" s="96"/>
      <c r="B13" s="826" t="s">
        <v>97</v>
      </c>
      <c r="C13" s="828"/>
      <c r="D13" s="827"/>
      <c r="E13" s="41" t="s">
        <v>96</v>
      </c>
      <c r="F13" s="665" t="s">
        <v>276</v>
      </c>
      <c r="G13" s="656" t="s">
        <v>95</v>
      </c>
      <c r="H13" s="658"/>
      <c r="I13" s="667" t="s">
        <v>276</v>
      </c>
      <c r="J13" s="646" t="s">
        <v>93</v>
      </c>
      <c r="K13" s="903" t="s">
        <v>273</v>
      </c>
      <c r="L13" s="906"/>
      <c r="M13" s="906"/>
      <c r="N13" s="906"/>
      <c r="O13" s="907"/>
    </row>
    <row r="14" spans="1:24" ht="15.75" x14ac:dyDescent="0.25">
      <c r="A14" s="95"/>
      <c r="B14" s="93">
        <v>1</v>
      </c>
      <c r="C14" s="94">
        <v>2</v>
      </c>
      <c r="D14" s="92">
        <v>3</v>
      </c>
      <c r="E14" s="41">
        <v>1</v>
      </c>
      <c r="F14" s="666" t="s">
        <v>277</v>
      </c>
      <c r="G14" s="41">
        <v>1</v>
      </c>
      <c r="H14" s="659">
        <v>2</v>
      </c>
      <c r="I14" s="657" t="s">
        <v>277</v>
      </c>
      <c r="J14" s="647" t="s">
        <v>272</v>
      </c>
      <c r="K14" s="904"/>
      <c r="L14" s="906"/>
      <c r="M14" s="906"/>
      <c r="N14" s="906"/>
      <c r="O14" s="907"/>
    </row>
    <row r="15" spans="1:24" x14ac:dyDescent="0.25">
      <c r="A15" s="95"/>
      <c r="B15" s="93"/>
      <c r="C15" s="94"/>
      <c r="D15" s="92"/>
      <c r="E15" s="41"/>
      <c r="F15" s="666" t="s">
        <v>280</v>
      </c>
      <c r="G15" s="41"/>
      <c r="H15" s="660"/>
      <c r="I15" s="668" t="s">
        <v>280</v>
      </c>
      <c r="J15" s="671"/>
      <c r="K15" s="904"/>
      <c r="L15" s="906"/>
      <c r="M15" s="906"/>
      <c r="N15" s="906"/>
      <c r="O15" s="907"/>
    </row>
    <row r="16" spans="1:24" ht="14.45" customHeight="1" x14ac:dyDescent="0.25">
      <c r="A16" s="91" t="s">
        <v>82</v>
      </c>
      <c r="B16" s="88" t="s">
        <v>81</v>
      </c>
      <c r="C16" s="90" t="s">
        <v>81</v>
      </c>
      <c r="D16" s="87" t="s">
        <v>81</v>
      </c>
      <c r="E16" s="89" t="s">
        <v>81</v>
      </c>
      <c r="F16" s="84" t="s">
        <v>278</v>
      </c>
      <c r="G16" s="163" t="s">
        <v>81</v>
      </c>
      <c r="H16" s="661" t="s">
        <v>81</v>
      </c>
      <c r="I16" s="86" t="s">
        <v>279</v>
      </c>
      <c r="J16" s="652" t="s">
        <v>92</v>
      </c>
      <c r="K16" s="905"/>
      <c r="L16" s="906"/>
      <c r="M16" s="906"/>
      <c r="N16" s="906"/>
      <c r="O16" s="907"/>
    </row>
    <row r="17" spans="1:15" x14ac:dyDescent="0.25">
      <c r="A17" s="83" t="s">
        <v>78</v>
      </c>
      <c r="B17" s="591"/>
      <c r="C17" s="592"/>
      <c r="D17" s="593"/>
      <c r="E17" s="591"/>
      <c r="F17" s="664"/>
      <c r="G17" s="662"/>
      <c r="H17" s="593"/>
      <c r="I17" s="669"/>
      <c r="J17" s="653"/>
      <c r="K17" s="672" t="str">
        <f>IFERROR(IF(H17=1, "95 - 100%",IF(H17=0,"0-5%",CONCATENATE(ROUND(IF((H17-0.05)*100&lt;0,0,(H17-0.05)*100),1)," - ",ROUND(IF((H17+0.05)*100&gt;100,100,(H17+0.05)*100),1),"%"))),"")</f>
        <v>0-5%</v>
      </c>
      <c r="L17" s="906"/>
      <c r="M17" s="906"/>
      <c r="N17" s="906"/>
      <c r="O17" s="907"/>
    </row>
    <row r="18" spans="1:15" x14ac:dyDescent="0.25">
      <c r="A18" s="80" t="s">
        <v>77</v>
      </c>
      <c r="B18" s="594"/>
      <c r="C18" s="595"/>
      <c r="D18" s="596"/>
      <c r="E18" s="594"/>
      <c r="F18" s="664"/>
      <c r="G18" s="663"/>
      <c r="H18" s="596"/>
      <c r="I18" s="669"/>
      <c r="J18" s="654"/>
      <c r="K18" s="672" t="str">
        <f t="shared" ref="K18:K23" si="0">IFERROR(IF(H18=1, "95 - 100%",IF(H18=0,"0-5%",CONCATENATE(ROUND(IF((H18-0.05)*100&lt;0,0,(H18-0.05)*100),1)," - ",ROUND(IF((H18+0.05)*100&gt;100,100,(H18+0.05)*100),1),"%"))),"")</f>
        <v>0-5%</v>
      </c>
      <c r="L18" s="906"/>
      <c r="M18" s="906"/>
      <c r="N18" s="906"/>
      <c r="O18" s="907"/>
    </row>
    <row r="19" spans="1:15" x14ac:dyDescent="0.25">
      <c r="A19" s="76" t="s">
        <v>76</v>
      </c>
      <c r="B19" s="594"/>
      <c r="C19" s="595"/>
      <c r="D19" s="596"/>
      <c r="E19" s="594"/>
      <c r="F19" s="664"/>
      <c r="G19" s="663"/>
      <c r="H19" s="596"/>
      <c r="I19" s="669"/>
      <c r="J19" s="654"/>
      <c r="K19" s="672" t="str">
        <f t="shared" si="0"/>
        <v>0-5%</v>
      </c>
      <c r="L19" s="906"/>
      <c r="M19" s="906"/>
      <c r="N19" s="906"/>
      <c r="O19" s="907"/>
    </row>
    <row r="20" spans="1:15" x14ac:dyDescent="0.25">
      <c r="A20" s="79" t="s">
        <v>75</v>
      </c>
      <c r="B20" s="594"/>
      <c r="C20" s="595"/>
      <c r="D20" s="596"/>
      <c r="E20" s="594"/>
      <c r="F20" s="664"/>
      <c r="G20" s="663"/>
      <c r="H20" s="596"/>
      <c r="I20" s="669"/>
      <c r="J20" s="654"/>
      <c r="K20" s="672" t="str">
        <f t="shared" si="0"/>
        <v>0-5%</v>
      </c>
      <c r="L20" s="906"/>
      <c r="M20" s="906"/>
      <c r="N20" s="906"/>
      <c r="O20" s="907"/>
    </row>
    <row r="21" spans="1:15" x14ac:dyDescent="0.25">
      <c r="A21" s="78" t="s">
        <v>74</v>
      </c>
      <c r="B21" s="594"/>
      <c r="C21" s="595"/>
      <c r="D21" s="596"/>
      <c r="E21" s="594"/>
      <c r="F21" s="664"/>
      <c r="G21" s="663"/>
      <c r="H21" s="596"/>
      <c r="I21" s="669"/>
      <c r="J21" s="654"/>
      <c r="K21" s="672" t="str">
        <f t="shared" si="0"/>
        <v>0-5%</v>
      </c>
      <c r="L21" s="902"/>
      <c r="M21" s="902"/>
      <c r="N21" s="902"/>
      <c r="O21" s="902"/>
    </row>
    <row r="22" spans="1:15" x14ac:dyDescent="0.25">
      <c r="A22" s="77" t="s">
        <v>73</v>
      </c>
      <c r="B22" s="594"/>
      <c r="C22" s="595"/>
      <c r="D22" s="596"/>
      <c r="E22" s="594"/>
      <c r="F22" s="664"/>
      <c r="G22" s="663"/>
      <c r="H22" s="596"/>
      <c r="I22" s="669">
        <v>1</v>
      </c>
      <c r="J22" s="654"/>
      <c r="K22" s="672" t="str">
        <f t="shared" si="0"/>
        <v>0-5%</v>
      </c>
      <c r="L22" s="902"/>
      <c r="M22" s="902"/>
      <c r="N22" s="902"/>
      <c r="O22" s="902"/>
    </row>
    <row r="23" spans="1:15" x14ac:dyDescent="0.25">
      <c r="A23" s="76" t="s">
        <v>72</v>
      </c>
      <c r="B23" s="594"/>
      <c r="C23" s="595"/>
      <c r="D23" s="596"/>
      <c r="E23" s="594"/>
      <c r="F23" s="664"/>
      <c r="G23" s="663"/>
      <c r="H23" s="596"/>
      <c r="I23" s="669" t="s">
        <v>281</v>
      </c>
      <c r="J23" s="654"/>
      <c r="K23" s="672" t="str">
        <f t="shared" si="0"/>
        <v>0-5%</v>
      </c>
      <c r="L23" s="902"/>
      <c r="M23" s="902"/>
      <c r="N23" s="902"/>
      <c r="O23" s="902"/>
    </row>
    <row r="24" spans="1:15" x14ac:dyDescent="0.25">
      <c r="A24" s="76" t="s">
        <v>71</v>
      </c>
      <c r="B24" s="594"/>
      <c r="C24" s="595"/>
      <c r="D24" s="596"/>
      <c r="E24" s="594"/>
      <c r="F24" s="664"/>
      <c r="G24" s="663"/>
      <c r="H24" s="596"/>
      <c r="I24" s="669" t="s">
        <v>282</v>
      </c>
      <c r="J24" s="654"/>
      <c r="K24" s="672" t="str">
        <f>IFERROR(IF(H24=1, "96 - 100%",IF(H24=0,"0-4%",CONCATENATE(ROUND(IF((H24-0.04)*100&lt;0,0,(H24-0.04)*100),1)," - ",ROUND(IF((H24+0.04)*100&gt;100,100,(H24+0.04)*100),1),"%"))),"")</f>
        <v>0-4%</v>
      </c>
      <c r="L24" s="902"/>
      <c r="M24" s="902"/>
      <c r="N24" s="902"/>
      <c r="O24" s="902"/>
    </row>
    <row r="25" spans="1:15" x14ac:dyDescent="0.25">
      <c r="A25" s="76" t="s">
        <v>70</v>
      </c>
      <c r="B25" s="649"/>
      <c r="C25" s="650"/>
      <c r="D25" s="651"/>
      <c r="E25" s="649"/>
      <c r="F25" s="664"/>
      <c r="G25" s="663"/>
      <c r="H25" s="596"/>
      <c r="I25" s="669" t="s">
        <v>283</v>
      </c>
      <c r="J25" s="654"/>
      <c r="K25" s="672" t="str">
        <f>IFERROR(IF(H25=1, "96 - 100%",IF(H25=0,"0-4%",CONCATENATE(ROUND(IF((H25-0.04)*100&lt;0,0,(H25-0.04)*100),1)," - ",ROUND(IF((H25+0.04)*100&gt;100,100,(H25+0.04)*100),1),"%"))),"")</f>
        <v>0-4%</v>
      </c>
      <c r="L25" s="902"/>
      <c r="M25" s="902"/>
      <c r="N25" s="902"/>
      <c r="O25" s="902"/>
    </row>
    <row r="26" spans="1:15" x14ac:dyDescent="0.25">
      <c r="A26" s="76" t="s">
        <v>69</v>
      </c>
      <c r="B26" s="649"/>
      <c r="C26" s="650"/>
      <c r="D26" s="651"/>
      <c r="E26" s="649"/>
      <c r="F26" s="664"/>
      <c r="G26" s="663"/>
      <c r="H26" s="596"/>
      <c r="I26" s="669" t="s">
        <v>284</v>
      </c>
      <c r="J26" s="654"/>
      <c r="K26" s="672" t="str">
        <f>IFERROR(IF(H26=1, "96 - 100%",IF(H26=0,"0-4%",CONCATENATE(ROUND(IF((H26-0.04)*100&lt;0,0,(H26-0.04)*100),1)," - ",ROUND(IF((H26+0.04)*100&gt;100,100,(H26+0.04)*100),1),"%"))),"")</f>
        <v>0-4%</v>
      </c>
      <c r="L26" s="902"/>
      <c r="M26" s="902"/>
      <c r="N26" s="902"/>
      <c r="O26" s="902"/>
    </row>
    <row r="27" spans="1:15" x14ac:dyDescent="0.25">
      <c r="A27" s="76" t="s">
        <v>68</v>
      </c>
      <c r="B27" s="649"/>
      <c r="C27" s="650"/>
      <c r="D27" s="651"/>
      <c r="E27" s="649"/>
      <c r="F27" s="664"/>
      <c r="G27" s="663"/>
      <c r="H27" s="596"/>
      <c r="I27" s="669" t="s">
        <v>285</v>
      </c>
      <c r="J27" s="654"/>
      <c r="K27" s="672" t="str">
        <f>IFERROR(IF(H27=1, "97 - 100%",IF(H27=0,"0-3%",CONCATENATE(ROUND(IF((H27-0.03)*100&lt;0,0,(H27-0.03)*100),1)," - ",ROUND(IF((H27+0.03)*100&gt;100,100,(H27+0.03)*100),1),"%"))),"")</f>
        <v>0-3%</v>
      </c>
    </row>
    <row r="28" spans="1:15" x14ac:dyDescent="0.25">
      <c r="A28" s="76" t="s">
        <v>67</v>
      </c>
      <c r="B28" s="649"/>
      <c r="C28" s="650"/>
      <c r="D28" s="651"/>
      <c r="E28" s="649"/>
      <c r="F28" s="664"/>
      <c r="G28" s="663"/>
      <c r="H28" s="596"/>
      <c r="I28" s="669" t="s">
        <v>286</v>
      </c>
      <c r="J28" s="654"/>
      <c r="K28" s="672" t="str">
        <f>IFERROR(IF(H28=1, "98-100%",IF(H28=0,"0-2%",CONCATENATE(ROUND(IF((H28-0.02)*100&lt;0,0,(H28-0.02)*100),1)," - ",ROUND(IF((H28+0.02)*100&gt;100,100,(H28+0.02)*100),1),"%"))),"")</f>
        <v>0-2%</v>
      </c>
    </row>
    <row r="29" spans="1:15" x14ac:dyDescent="0.25">
      <c r="A29" s="685" t="s">
        <v>66</v>
      </c>
      <c r="B29" s="690"/>
      <c r="C29" s="691"/>
      <c r="D29" s="692"/>
      <c r="E29" s="690"/>
      <c r="F29" s="693"/>
      <c r="G29" s="694"/>
      <c r="H29" s="695"/>
      <c r="I29" s="670" t="s">
        <v>287</v>
      </c>
      <c r="J29" s="655"/>
      <c r="K29" s="672" t="str">
        <f>IFERROR(IF(H29=1, "98.5-100%",IF(H29=0,"0-1.5%",CONCATENATE(ROUND(IF((H29-0.015)*100&lt;0,0,(H29-0.015)*100),1)," - ",ROUND(IF((H29+0.015)*100&gt;100,100,(H29+0.015)*100),1),"%"))),"")</f>
        <v>0-1.5%</v>
      </c>
    </row>
    <row r="30" spans="1:15" x14ac:dyDescent="0.25">
      <c r="A30" s="697" t="s">
        <v>65</v>
      </c>
      <c r="B30" s="700"/>
      <c r="C30" s="701"/>
      <c r="D30" s="701"/>
      <c r="E30" s="701"/>
      <c r="F30" s="701"/>
      <c r="G30" s="701"/>
      <c r="H30" s="699"/>
      <c r="I30" s="696"/>
      <c r="J30" s="698"/>
      <c r="K30" s="699"/>
    </row>
    <row r="31" spans="1:15" x14ac:dyDescent="0.25">
      <c r="A31" s="686"/>
      <c r="B31" s="689"/>
      <c r="C31" s="689"/>
      <c r="D31" s="689"/>
      <c r="E31" s="689"/>
      <c r="F31" s="689"/>
      <c r="G31" s="689"/>
      <c r="H31" s="66"/>
    </row>
    <row r="32" spans="1:15" x14ac:dyDescent="0.25">
      <c r="A32" s="23"/>
      <c r="E32" s="686"/>
      <c r="F32" s="687"/>
      <c r="G32" s="688"/>
    </row>
    <row r="33" spans="1:19" x14ac:dyDescent="0.25">
      <c r="A33" s="23"/>
      <c r="E33" s="686"/>
      <c r="F33" s="687"/>
      <c r="G33" s="688"/>
    </row>
    <row r="34" spans="1:19" ht="15.75" x14ac:dyDescent="0.25">
      <c r="A34" s="23"/>
      <c r="C34" s="148"/>
      <c r="D34" s="148"/>
      <c r="E34" s="148"/>
      <c r="F34" s="34"/>
      <c r="G34" s="673"/>
      <c r="H34" s="148"/>
      <c r="I34" s="148"/>
      <c r="J34" s="148"/>
      <c r="K34" s="148"/>
    </row>
    <row r="35" spans="1:19" x14ac:dyDescent="0.25">
      <c r="A35" s="23"/>
    </row>
    <row r="36" spans="1:19" x14ac:dyDescent="0.25">
      <c r="A36" s="23"/>
      <c r="F36" s="675"/>
    </row>
    <row r="37" spans="1:19" x14ac:dyDescent="0.25">
      <c r="A37" s="23"/>
      <c r="H37" s="34"/>
      <c r="I37" s="676"/>
    </row>
    <row r="38" spans="1:19" x14ac:dyDescent="0.25">
      <c r="A38" s="23"/>
      <c r="F38" s="677"/>
      <c r="G38" s="678"/>
      <c r="H38" s="677"/>
      <c r="I38" s="679"/>
      <c r="R38" s="41"/>
      <c r="S38" s="41"/>
    </row>
    <row r="39" spans="1:19" x14ac:dyDescent="0.25">
      <c r="A39" s="23"/>
      <c r="F39" s="673"/>
      <c r="G39" s="116"/>
      <c r="H39" s="680"/>
      <c r="I39" s="35"/>
      <c r="Q39" s="34"/>
      <c r="R39" s="35"/>
      <c r="S39" s="35"/>
    </row>
    <row r="40" spans="1:19" x14ac:dyDescent="0.25">
      <c r="A40" s="23"/>
      <c r="F40" s="681"/>
      <c r="G40" s="116"/>
      <c r="H40" s="680"/>
      <c r="I40" s="35"/>
      <c r="Q40" s="34"/>
      <c r="R40" s="35"/>
      <c r="S40" s="35"/>
    </row>
    <row r="41" spans="1:19" x14ac:dyDescent="0.25">
      <c r="A41" s="23"/>
      <c r="F41" s="673"/>
      <c r="G41" s="116"/>
      <c r="H41" s="680"/>
      <c r="I41" s="35"/>
      <c r="Q41" s="34"/>
    </row>
    <row r="42" spans="1:19" x14ac:dyDescent="0.25">
      <c r="A42" s="23"/>
      <c r="F42" s="682"/>
      <c r="G42" s="116"/>
      <c r="H42" s="680"/>
      <c r="I42" s="35"/>
    </row>
    <row r="43" spans="1:19" x14ac:dyDescent="0.25">
      <c r="A43" s="23"/>
      <c r="F43" s="683"/>
      <c r="G43" s="116"/>
      <c r="H43" s="680"/>
      <c r="I43" s="35"/>
    </row>
    <row r="44" spans="1:19" x14ac:dyDescent="0.25">
      <c r="A44" s="23"/>
      <c r="F44" s="684"/>
      <c r="G44" s="116"/>
      <c r="H44" s="680"/>
      <c r="I44" s="35"/>
    </row>
    <row r="45" spans="1:19" x14ac:dyDescent="0.25">
      <c r="A45" s="23"/>
      <c r="F45" s="673"/>
      <c r="G45" s="116"/>
      <c r="H45" s="680"/>
      <c r="I45" s="35"/>
    </row>
    <row r="46" spans="1:19" x14ac:dyDescent="0.25">
      <c r="A46" s="23"/>
      <c r="F46" s="673"/>
      <c r="G46" s="116"/>
      <c r="H46" s="680"/>
      <c r="I46" s="35"/>
    </row>
    <row r="47" spans="1:19" x14ac:dyDescent="0.25">
      <c r="A47" s="23"/>
      <c r="F47" s="673"/>
      <c r="G47" s="116"/>
      <c r="H47" s="680"/>
      <c r="I47" s="35"/>
    </row>
    <row r="48" spans="1:19" x14ac:dyDescent="0.25">
      <c r="A48" s="23"/>
      <c r="F48" s="673"/>
      <c r="G48" s="116"/>
      <c r="H48" s="680"/>
      <c r="I48" s="35"/>
    </row>
    <row r="49" spans="1:9" x14ac:dyDescent="0.25">
      <c r="A49" s="23"/>
      <c r="F49" s="673"/>
      <c r="G49" s="116"/>
      <c r="H49" s="680"/>
      <c r="I49" s="35"/>
    </row>
    <row r="50" spans="1:9" x14ac:dyDescent="0.25">
      <c r="A50" s="23"/>
      <c r="F50" s="673"/>
      <c r="G50" s="116"/>
      <c r="H50" s="680"/>
      <c r="I50" s="35"/>
    </row>
    <row r="51" spans="1:9" x14ac:dyDescent="0.25">
      <c r="A51" s="23"/>
      <c r="F51" s="673"/>
      <c r="G51" s="116"/>
      <c r="H51" s="680"/>
      <c r="I51" s="35"/>
    </row>
    <row r="52" spans="1:9" x14ac:dyDescent="0.25">
      <c r="A52" s="23"/>
      <c r="F52" s="673"/>
      <c r="G52" s="116"/>
      <c r="H52" s="680"/>
      <c r="I52" s="35"/>
    </row>
  </sheetData>
  <sheetProtection selectLockedCells="1"/>
  <mergeCells count="14">
    <mergeCell ref="D7:H7"/>
    <mergeCell ref="D8:H8"/>
    <mergeCell ref="D9:H9"/>
    <mergeCell ref="D10:H10"/>
    <mergeCell ref="B13:D13"/>
    <mergeCell ref="O21:O26"/>
    <mergeCell ref="K13:K16"/>
    <mergeCell ref="L21:L26"/>
    <mergeCell ref="M21:M26"/>
    <mergeCell ref="N21:N26"/>
    <mergeCell ref="L4:L20"/>
    <mergeCell ref="M4:M20"/>
    <mergeCell ref="N4:N20"/>
    <mergeCell ref="O4:O20"/>
  </mergeCells>
  <conditionalFormatting sqref="B18:G30">
    <cfRule type="cellIs" dxfId="4" priority="6" operator="greaterThan">
      <formula>B17</formula>
    </cfRule>
  </conditionalFormatting>
  <conditionalFormatting sqref="H18:H29">
    <cfRule type="cellIs" dxfId="3" priority="2" operator="greaterThan">
      <formula>H17</formula>
    </cfRule>
  </conditionalFormatting>
  <conditionalFormatting sqref="I39:I52">
    <cfRule type="cellIs" dxfId="2" priority="3" operator="lessThan">
      <formula>-0.07</formula>
    </cfRule>
    <cfRule type="cellIs" dxfId="1" priority="4" operator="greaterThan">
      <formula>0.07</formula>
    </cfRule>
  </conditionalFormatting>
  <conditionalFormatting sqref="J18:J30">
    <cfRule type="expression" dxfId="0" priority="5">
      <formula>ABS(J18-J17)&gt;10%</formula>
    </cfRule>
  </conditionalFormatting>
  <printOptions horizontalCentered="1" verticalCentered="1"/>
  <pageMargins left="0.5" right="0.5" top="0.75" bottom="0.75" header="0.3" footer="0.3"/>
  <pageSetup scale="90" orientation="portrait" r:id="rId1"/>
  <headerFooter>
    <oddHeader>&amp;C&amp;14Montana Department of Transportation
Concrete Combined Aggregate Optimization Charts</oddHeader>
    <oddFooter>&amp;L&amp;F&amp;CPage &amp;P of &amp;N&amp;R&amp;D</oddFooter>
  </headerFooter>
  <colBreaks count="1" manualBreakCount="1">
    <brk id="11" min="3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Transfer Form</vt:lpstr>
      <vt:lpstr>Original Submittal Form</vt:lpstr>
      <vt:lpstr>Contractor Mix Design</vt:lpstr>
      <vt:lpstr>Aggregate Charts</vt:lpstr>
      <vt:lpstr>Calculation (4)</vt:lpstr>
      <vt:lpstr>Calculation (3)</vt:lpstr>
      <vt:lpstr>Calculation (2)</vt:lpstr>
      <vt:lpstr>Calculation</vt:lpstr>
      <vt:lpstr>Aggregate Charts(Conv.)</vt:lpstr>
      <vt:lpstr>Trial Batch Data</vt:lpstr>
      <vt:lpstr>Aggregate Data</vt:lpstr>
      <vt:lpstr>List Data</vt:lpstr>
      <vt:lpstr>'Aggregate Charts'!Print_Area</vt:lpstr>
      <vt:lpstr>'Aggregate Charts(Conv.)'!Print_Area</vt:lpstr>
      <vt:lpstr>'Aggregate Data'!Print_Area</vt:lpstr>
      <vt:lpstr>Calculation!Print_Area</vt:lpstr>
      <vt:lpstr>'Calculation (2)'!Print_Area</vt:lpstr>
      <vt:lpstr>'Calculation (3)'!Print_Area</vt:lpstr>
      <vt:lpstr>'Calculation (4)'!Print_Area</vt:lpstr>
      <vt:lpstr>'Contractor Mix Design'!Print_Area</vt:lpstr>
      <vt:lpstr>'Original Submittal Form'!Print_Area</vt:lpstr>
      <vt:lpstr>'Transfer Form'!Print_Area</vt:lpstr>
      <vt:lpstr>'Trial Batch Data'!Print_Area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MJZ</dc:creator>
  <cp:lastModifiedBy>Gale, Michelle</cp:lastModifiedBy>
  <cp:lastPrinted>2022-05-26T15:09:11Z</cp:lastPrinted>
  <dcterms:created xsi:type="dcterms:W3CDTF">1999-06-08T01:30:48Z</dcterms:created>
  <dcterms:modified xsi:type="dcterms:W3CDTF">2025-05-14T17:26:14Z</dcterms:modified>
</cp:coreProperties>
</file>