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workbookPassword="87D3" lockStructure="1"/>
  <bookViews>
    <workbookView xWindow="120" yWindow="15" windowWidth="18075" windowHeight="13800" tabRatio="699" firstSheet="3" activeTab="3"/>
  </bookViews>
  <sheets>
    <sheet name="Custom Design Top" sheetId="24" state="hidden" r:id="rId1"/>
    <sheet name="Custom Design Bottom" sheetId="23" state="hidden" r:id="rId2"/>
    <sheet name="Bar Sizes" sheetId="7" state="hidden" r:id="rId3"/>
    <sheet name="Deck Design Worksheet" sheetId="20" r:id="rId4"/>
    <sheet name="LRFD Deck Charts" sheetId="19" r:id="rId5"/>
    <sheet name="Custom Design" sheetId="22" r:id="rId6"/>
    <sheet name="English LRFD" sheetId="9" state="hidden" r:id="rId7"/>
    <sheet name="English LRFD Working Area" sheetId="3" state="hidden" r:id="rId8"/>
    <sheet name="Find Required Area of Steel" sheetId="6" state="hidden" r:id="rId9"/>
    <sheet name="Rail Crash Loading" sheetId="18" state="hidden" r:id="rId10"/>
    <sheet name="Stephanie Work" sheetId="21" state="hidden" r:id="rId11"/>
    <sheet name="Dead Loads" sheetId="2" state="hidden" r:id="rId12"/>
  </sheets>
  <externalReferences>
    <externalReference r:id="rId13"/>
    <externalReference r:id="rId14"/>
  </externalReferences>
  <definedNames>
    <definedName name="AreaSteel1" localSheetId="2">'[1]Rect Column Calc'!#REF!</definedName>
    <definedName name="AreaSteel1" localSheetId="1">'[1]Rect Column Calc'!#REF!</definedName>
    <definedName name="AreaSteel1" localSheetId="0">'[1]Rect Column Calc'!#REF!</definedName>
    <definedName name="AreaSteel1" localSheetId="8">'[1]Rect Column Calc'!#REF!</definedName>
    <definedName name="AreaSteel1">'[2]Rect Column Calc'!#REF!</definedName>
    <definedName name="AreaSteel2" localSheetId="2">'[1]Rect Column Calc'!#REF!</definedName>
    <definedName name="AreaSteel2" localSheetId="1">'[1]Rect Column Calc'!#REF!</definedName>
    <definedName name="AreaSteel2" localSheetId="0">'[1]Rect Column Calc'!#REF!</definedName>
    <definedName name="AreaSteel2" localSheetId="8">'[1]Rect Column Calc'!#REF!</definedName>
    <definedName name="AreaSteel2">'[2]Rect Column Calc'!#REF!</definedName>
    <definedName name="AreaSteel20" localSheetId="1">'[2]Rect Column Calc'!#REF!</definedName>
    <definedName name="AreaSteel20" localSheetId="0">'[2]Rect Column Calc'!#REF!</definedName>
    <definedName name="AreaSteel20">'[2]Rect Column Calc'!#REF!</definedName>
    <definedName name="As_Req_Str">'English LRFD Working Area'!$AZ$4</definedName>
    <definedName name="BarArea1" localSheetId="2">'[1]Rect Column Calc'!#REF!</definedName>
    <definedName name="BarArea1" localSheetId="1">'[1]Rect Column Calc'!#REF!</definedName>
    <definedName name="BarArea1" localSheetId="0">'[1]Rect Column Calc'!#REF!</definedName>
    <definedName name="BarArea1" localSheetId="8">'[1]Rect Column Calc'!#REF!</definedName>
    <definedName name="BarArea1">'[2]Rect Column Calc'!#REF!</definedName>
    <definedName name="BarArea2" localSheetId="2">'[1]Rect Column Calc'!#REF!</definedName>
    <definedName name="BarArea2" localSheetId="1">'[1]Rect Column Calc'!#REF!</definedName>
    <definedName name="BarArea2" localSheetId="0">'[1]Rect Column Calc'!#REF!</definedName>
    <definedName name="BarArea2" localSheetId="8">'[1]Rect Column Calc'!#REF!</definedName>
    <definedName name="BarArea2">'[2]Rect Column Calc'!#REF!</definedName>
    <definedName name="Beam_List">'English LRFD'!$C$60:$C$68</definedName>
    <definedName name="Btm_Cover">'English LRFD Working Area'!$AB$3</definedName>
    <definedName name="CustomAreaSteel1" localSheetId="0">'[2]Rect Column Calc'!#REF!</definedName>
    <definedName name="CustomAreaSteel1">'[2]Rect Column Calc'!#REF!</definedName>
    <definedName name="CustomAreaSteel2" localSheetId="0">'[2]Rect Column Calc'!#REF!</definedName>
    <definedName name="CustomAreaSteel2">'[2]Rect Column Calc'!#REF!</definedName>
    <definedName name="CustomBarArea1" localSheetId="0">'[2]Rect Column Calc'!#REF!</definedName>
    <definedName name="CustomBarArea1">'[2]Rect Column Calc'!#REF!</definedName>
    <definedName name="CustomBarArea2" localSheetId="0">'[2]Rect Column Calc'!#REF!</definedName>
    <definedName name="CustomBarArea2">'[2]Rect Column Calc'!#REF!</definedName>
    <definedName name="CustomTopAreaSteel1">'[2]Rect Column Calc'!#REF!</definedName>
    <definedName name="CustomTopAreaSteel2">'[2]Rect Column Calc'!#REF!</definedName>
    <definedName name="CustomTopAreaSteel20">'[2]Rect Column Calc'!#REF!</definedName>
    <definedName name="CustomTopBarArea1">'[2]Rect Column Calc'!#REF!</definedName>
    <definedName name="CustomTopBarArea2">'[2]Rect Column Calc'!#REF!</definedName>
    <definedName name="CustomTopMunberOfBars2">'[2]Rect Column Calc'!#REF!</definedName>
    <definedName name="CustomTopNumberOfBars1">'[2]Rect Column Calc'!#REF!</definedName>
    <definedName name="Input_Bar_Size">'English LRFD Working Area'!$T$4</definedName>
    <definedName name="Input_Cover">'English LRFD Working Area'!$T$1</definedName>
    <definedName name="Input_Factored_M">'English LRFD Working Area'!$T$3</definedName>
    <definedName name="Input_Num_Bars">'English LRFD Working Area'!$V$4</definedName>
    <definedName name="Input_Service_M">'English LRFD Working Area'!$V$3</definedName>
    <definedName name="Input_Service_M_Dead">'English LRFD Working Area'!$V$2</definedName>
    <definedName name="Input_Slab_t">'English LRFD Working Area'!$T$2</definedName>
    <definedName name="Max_Space_Solved">'English LRFD Working Area'!$X$5</definedName>
    <definedName name="NumberOfBars1" localSheetId="1">'[2]Rect Column Calc'!#REF!</definedName>
    <definedName name="NumberOfBars1" localSheetId="0">'[2]Rect Column Calc'!#REF!</definedName>
    <definedName name="NumberOfBars1">'[2]Rect Column Calc'!#REF!</definedName>
    <definedName name="NumberOfBars2" localSheetId="1">'[2]Rect Column Calc'!#REF!</definedName>
    <definedName name="NumberOfBars2" localSheetId="0">'[2]Rect Column Calc'!#REF!</definedName>
    <definedName name="NumberOfBars2">'[2]Rect Column Calc'!#REF!</definedName>
    <definedName name="_xlnm.Print_Area" localSheetId="2">'Bar Sizes'!$C$23:$J$44</definedName>
    <definedName name="_xlnm.Print_Area" localSheetId="5">'Custom Design'!$B$2:$J$55</definedName>
    <definedName name="_xlnm.Print_Area" localSheetId="1">'Custom Design Bottom'!$C$2:$J$41</definedName>
    <definedName name="_xlnm.Print_Area" localSheetId="0">'Custom Design Top'!$C$2:$J$41</definedName>
    <definedName name="_xlnm.Print_Area" localSheetId="3">'Deck Design Worksheet'!$B$2:$H$54</definedName>
    <definedName name="_xlnm.Print_Area" localSheetId="6">'English LRFD'!$B$2:$K$51</definedName>
    <definedName name="_xlnm.Print_Area" localSheetId="8">'Find Required Area of Steel'!$C$2:$J$41</definedName>
    <definedName name="_xlnm.Print_Area" localSheetId="4">'LRFD Deck Charts'!$C$4:$T$62,'LRFD Deck Charts'!$W$4:$AJ$51</definedName>
    <definedName name="_xlnm.Print_Area" localSheetId="9">'Rail Crash Loading'!$C$2:$P$49</definedName>
    <definedName name="Rail_Sheet_Anchor">'Stephanie Work'!$D$8</definedName>
    <definedName name="RailTypes">'English LRFD'!$R$73:$R$75</definedName>
    <definedName name="SlabBarSizes">'Bar Sizes'!$D$27:$D$29</definedName>
    <definedName name="Spacing_Str">'English LRFD Working Area'!$T$5</definedName>
    <definedName name="Table_Anchor">'English LRFD Working Area'!$P$9</definedName>
    <definedName name="Top_Cover">'English LRFD Working Area'!$AB$2</definedName>
    <definedName name="Wearing_Thick">'English LRFD Working Area'!$AD$2</definedName>
  </definedNames>
  <calcPr calcId="145621"/>
</workbook>
</file>

<file path=xl/calcChain.xml><?xml version="1.0" encoding="utf-8"?>
<calcChain xmlns="http://schemas.openxmlformats.org/spreadsheetml/2006/main">
  <c r="CI12" i="9" l="1"/>
  <c r="CJ12" i="9"/>
  <c r="CI13" i="9"/>
  <c r="CJ13" i="9"/>
  <c r="CI14" i="9"/>
  <c r="CJ14" i="9"/>
  <c r="CI15" i="9"/>
  <c r="CJ15" i="9"/>
  <c r="CI16" i="9"/>
  <c r="CJ16" i="9"/>
  <c r="CI17" i="9"/>
  <c r="CJ17" i="9"/>
  <c r="CI18" i="9"/>
  <c r="CJ18" i="9"/>
  <c r="CI19" i="9"/>
  <c r="CJ19" i="9"/>
  <c r="CI20" i="9"/>
  <c r="CJ20" i="9"/>
  <c r="CI21" i="9"/>
  <c r="CJ21" i="9"/>
  <c r="CI22" i="9"/>
  <c r="CJ22" i="9"/>
  <c r="CI23" i="9"/>
  <c r="CJ23" i="9"/>
  <c r="CI24" i="9"/>
  <c r="CJ24" i="9"/>
  <c r="CI25" i="9"/>
  <c r="CJ25" i="9"/>
  <c r="CI26" i="9"/>
  <c r="CJ26" i="9"/>
  <c r="CI27" i="9"/>
  <c r="CJ27" i="9"/>
  <c r="CI28" i="9"/>
  <c r="CJ28" i="9"/>
  <c r="CI29" i="9"/>
  <c r="CJ29" i="9"/>
  <c r="CJ11" i="9"/>
  <c r="CI11" i="9"/>
  <c r="BU12" i="9"/>
  <c r="BV12" i="9"/>
  <c r="BU13" i="9"/>
  <c r="BV13" i="9"/>
  <c r="BU14" i="9"/>
  <c r="BV14" i="9"/>
  <c r="BU15" i="9"/>
  <c r="BV15" i="9"/>
  <c r="BU16" i="9"/>
  <c r="BV16" i="9"/>
  <c r="BU17" i="9"/>
  <c r="BV17" i="9"/>
  <c r="BU18" i="9"/>
  <c r="BV18" i="9"/>
  <c r="BU19" i="9"/>
  <c r="BV19" i="9"/>
  <c r="BU20" i="9"/>
  <c r="BV20" i="9"/>
  <c r="BU21" i="9"/>
  <c r="BV21" i="9"/>
  <c r="BU22" i="9"/>
  <c r="BV22" i="9"/>
  <c r="BU23" i="9"/>
  <c r="BV23" i="9"/>
  <c r="BU24" i="9"/>
  <c r="BV24" i="9"/>
  <c r="BU25" i="9"/>
  <c r="BV25" i="9"/>
  <c r="BU26" i="9"/>
  <c r="BV26" i="9"/>
  <c r="BU27" i="9"/>
  <c r="BV27" i="9"/>
  <c r="BU28" i="9"/>
  <c r="BV28" i="9"/>
  <c r="BU29" i="9"/>
  <c r="BV29" i="9"/>
  <c r="CJ10" i="9"/>
  <c r="BV10" i="9"/>
  <c r="BV11" i="9"/>
  <c r="BU11" i="9"/>
  <c r="D58" i="21" l="1"/>
  <c r="I9" i="21" l="1"/>
  <c r="G9" i="21"/>
  <c r="F9" i="21"/>
  <c r="E9" i="6" l="1"/>
  <c r="E9" i="23" l="1"/>
  <c r="E8" i="23"/>
  <c r="E9" i="24"/>
  <c r="E8" i="24"/>
  <c r="X5" i="24"/>
  <c r="X5" i="23"/>
  <c r="X5" i="6"/>
  <c r="AF7" i="24" l="1"/>
  <c r="AF7" i="23"/>
  <c r="AF7" i="6"/>
  <c r="Y7" i="24"/>
  <c r="Y7" i="23"/>
  <c r="Y7" i="6"/>
  <c r="AE4" i="24"/>
  <c r="AE4" i="23"/>
  <c r="AE4" i="6"/>
  <c r="S41" i="22" l="1"/>
  <c r="Q7" i="6" l="1"/>
  <c r="X3" i="6" s="1"/>
  <c r="AE3" i="6" s="1"/>
  <c r="Q39" i="22" l="1"/>
  <c r="I15" i="22" l="1"/>
  <c r="Q16" i="22"/>
  <c r="Q17" i="22"/>
  <c r="Q18" i="22"/>
  <c r="Q19" i="22"/>
  <c r="Q20" i="22"/>
  <c r="Q21" i="22"/>
  <c r="Q22" i="22"/>
  <c r="Q23" i="22"/>
  <c r="Q24" i="22"/>
  <c r="I21" i="22"/>
  <c r="AI11" i="3" l="1"/>
  <c r="AJ11" i="3"/>
  <c r="AI12" i="3"/>
  <c r="AJ12" i="3"/>
  <c r="AI13" i="3"/>
  <c r="AJ13" i="3"/>
  <c r="AI14" i="3"/>
  <c r="AJ14" i="3"/>
  <c r="AI15" i="3"/>
  <c r="AJ15" i="3"/>
  <c r="AI16" i="3"/>
  <c r="AJ16" i="3"/>
  <c r="AI17" i="3"/>
  <c r="AJ17" i="3"/>
  <c r="AI18" i="3"/>
  <c r="AJ18" i="3"/>
  <c r="AI19" i="3"/>
  <c r="AJ19" i="3"/>
  <c r="AI20" i="3"/>
  <c r="AJ20" i="3"/>
  <c r="AI21" i="3"/>
  <c r="AJ21" i="3"/>
  <c r="AI22" i="3"/>
  <c r="AJ22" i="3"/>
  <c r="AI23" i="3"/>
  <c r="AJ23" i="3"/>
  <c r="AI24" i="3"/>
  <c r="AJ24" i="3"/>
  <c r="AI25" i="3"/>
  <c r="AJ25" i="3"/>
  <c r="AI26" i="3"/>
  <c r="AJ26" i="3"/>
  <c r="AI27" i="3"/>
  <c r="AJ27" i="3"/>
  <c r="AI28" i="3"/>
  <c r="AJ28" i="3"/>
  <c r="AI29" i="3"/>
  <c r="AJ29" i="3"/>
  <c r="AI30" i="3"/>
  <c r="AJ30" i="3"/>
  <c r="AI31" i="3"/>
  <c r="AJ31" i="3"/>
  <c r="AI32" i="3"/>
  <c r="AJ32" i="3"/>
  <c r="AI33" i="3"/>
  <c r="AJ33" i="3"/>
  <c r="AI34" i="3"/>
  <c r="AJ34" i="3"/>
  <c r="AI35" i="3"/>
  <c r="AJ35" i="3"/>
  <c r="AI36" i="3"/>
  <c r="AJ36" i="3"/>
  <c r="AI37" i="3"/>
  <c r="AJ37" i="3"/>
  <c r="AI38" i="3"/>
  <c r="AJ38" i="3"/>
  <c r="AI39" i="3"/>
  <c r="AJ39" i="3"/>
  <c r="AI40" i="3"/>
  <c r="AJ40" i="3"/>
  <c r="AI41" i="3"/>
  <c r="AJ41" i="3"/>
  <c r="AI42" i="3"/>
  <c r="AJ42" i="3"/>
  <c r="AI43" i="3"/>
  <c r="AJ43" i="3"/>
  <c r="AI44" i="3"/>
  <c r="AJ44" i="3"/>
  <c r="AI45" i="3"/>
  <c r="AJ45" i="3"/>
  <c r="AI46" i="3"/>
  <c r="AJ46" i="3"/>
  <c r="AI47" i="3"/>
  <c r="AJ47" i="3"/>
  <c r="AI48" i="3"/>
  <c r="AJ48" i="3"/>
  <c r="AI49" i="3"/>
  <c r="AJ49" i="3"/>
  <c r="AI50" i="3"/>
  <c r="AJ50" i="3"/>
  <c r="AI51" i="3"/>
  <c r="AJ51" i="3"/>
  <c r="AI52" i="3"/>
  <c r="AJ52" i="3"/>
  <c r="AI53" i="3"/>
  <c r="AJ53" i="3"/>
  <c r="AI54" i="3"/>
  <c r="AJ54" i="3"/>
  <c r="AE11" i="3"/>
  <c r="AF11" i="3"/>
  <c r="AE12" i="3"/>
  <c r="AF12" i="3"/>
  <c r="AE13" i="3"/>
  <c r="AF13" i="3"/>
  <c r="AE14" i="3"/>
  <c r="AF14" i="3"/>
  <c r="AE15" i="3"/>
  <c r="AF15" i="3"/>
  <c r="AE16" i="3"/>
  <c r="AF16" i="3"/>
  <c r="AE17" i="3"/>
  <c r="AF17" i="3"/>
  <c r="AE18" i="3"/>
  <c r="AF18" i="3"/>
  <c r="AE19" i="3"/>
  <c r="AF19" i="3"/>
  <c r="AE20" i="3"/>
  <c r="AF20" i="3"/>
  <c r="AE21" i="3"/>
  <c r="AF21" i="3"/>
  <c r="AE22" i="3"/>
  <c r="AF22" i="3"/>
  <c r="AE23" i="3"/>
  <c r="AF23" i="3"/>
  <c r="AE24" i="3"/>
  <c r="AF24" i="3"/>
  <c r="AE25" i="3"/>
  <c r="AF25" i="3"/>
  <c r="AE26" i="3"/>
  <c r="AF26" i="3"/>
  <c r="AE27" i="3"/>
  <c r="AF27" i="3"/>
  <c r="AE28" i="3"/>
  <c r="AF28" i="3"/>
  <c r="AE29" i="3"/>
  <c r="AF29" i="3"/>
  <c r="AE30" i="3"/>
  <c r="AF30" i="3"/>
  <c r="AE31" i="3"/>
  <c r="AF31" i="3"/>
  <c r="AE32" i="3"/>
  <c r="AF32" i="3"/>
  <c r="AE33" i="3"/>
  <c r="AF33" i="3"/>
  <c r="AE34" i="3"/>
  <c r="AF34" i="3"/>
  <c r="AE35" i="3"/>
  <c r="AF35" i="3"/>
  <c r="AE36" i="3"/>
  <c r="AF36" i="3"/>
  <c r="AE37" i="3"/>
  <c r="AF37" i="3"/>
  <c r="AE38" i="3"/>
  <c r="AF38" i="3"/>
  <c r="AE39" i="3"/>
  <c r="AF39" i="3"/>
  <c r="AE40" i="3"/>
  <c r="AF40" i="3"/>
  <c r="AE41" i="3"/>
  <c r="AF41" i="3"/>
  <c r="AE42" i="3"/>
  <c r="AF42" i="3"/>
  <c r="AE43" i="3"/>
  <c r="AF43" i="3"/>
  <c r="AE44" i="3"/>
  <c r="AF44" i="3"/>
  <c r="AE45" i="3"/>
  <c r="AF45" i="3"/>
  <c r="AE46" i="3"/>
  <c r="AF46" i="3"/>
  <c r="AE47" i="3"/>
  <c r="AF47" i="3"/>
  <c r="AE48" i="3"/>
  <c r="AF48" i="3"/>
  <c r="AE49" i="3"/>
  <c r="AF49" i="3"/>
  <c r="AE50" i="3"/>
  <c r="AF50" i="3"/>
  <c r="AE51" i="3"/>
  <c r="AF51" i="3"/>
  <c r="AE52" i="3"/>
  <c r="AF52" i="3"/>
  <c r="AE53" i="3"/>
  <c r="AF53" i="3"/>
  <c r="AE54" i="3"/>
  <c r="AF54" i="3"/>
  <c r="AJ10" i="3"/>
  <c r="AI10" i="3"/>
  <c r="AF10" i="3"/>
  <c r="AE10" i="3"/>
  <c r="I54" i="3" l="1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10" i="3"/>
  <c r="I10" i="3"/>
  <c r="CJ54" i="3"/>
  <c r="CJ53" i="3"/>
  <c r="D7" i="9" l="1"/>
  <c r="E48" i="24"/>
  <c r="E48" i="23"/>
  <c r="G13" i="22"/>
  <c r="F48" i="24" s="1"/>
  <c r="F24" i="23"/>
  <c r="I48" i="23" s="1"/>
  <c r="J28" i="22"/>
  <c r="E21" i="22"/>
  <c r="G21" i="22" s="1"/>
  <c r="E29" i="22"/>
  <c r="E22" i="22"/>
  <c r="I41" i="22"/>
  <c r="J41" i="22"/>
  <c r="E38" i="22"/>
  <c r="E39" i="22" s="1"/>
  <c r="G40" i="22" s="1"/>
  <c r="W47" i="23"/>
  <c r="W48" i="23"/>
  <c r="W49" i="23"/>
  <c r="W50" i="23"/>
  <c r="W51" i="23"/>
  <c r="W52" i="23"/>
  <c r="W53" i="23"/>
  <c r="W54" i="23"/>
  <c r="W46" i="23"/>
  <c r="Z54" i="23"/>
  <c r="Z53" i="23"/>
  <c r="Z52" i="23"/>
  <c r="Z51" i="23"/>
  <c r="Z50" i="23"/>
  <c r="Z49" i="23"/>
  <c r="Z48" i="23"/>
  <c r="Z47" i="23"/>
  <c r="Z46" i="23"/>
  <c r="CG43" i="9"/>
  <c r="CH43" i="9"/>
  <c r="CJ35" i="9"/>
  <c r="CJ36" i="9"/>
  <c r="CJ37" i="9"/>
  <c r="CJ38" i="9"/>
  <c r="CJ39" i="9"/>
  <c r="CJ40" i="9"/>
  <c r="CJ41" i="9"/>
  <c r="CJ42" i="9"/>
  <c r="CJ34" i="9"/>
  <c r="F24" i="24"/>
  <c r="I48" i="24" s="1"/>
  <c r="E24" i="24"/>
  <c r="H24" i="24" s="1"/>
  <c r="E11" i="24"/>
  <c r="E4" i="24"/>
  <c r="E50" i="24" s="1"/>
  <c r="W29" i="24"/>
  <c r="Y28" i="24"/>
  <c r="W28" i="24"/>
  <c r="Q24" i="24"/>
  <c r="H23" i="24"/>
  <c r="I23" i="24" s="1"/>
  <c r="X28" i="24" s="1"/>
  <c r="Y17" i="24"/>
  <c r="AF17" i="24" s="1"/>
  <c r="Y16" i="24"/>
  <c r="AF16" i="24" s="1"/>
  <c r="AK14" i="24"/>
  <c r="AK13" i="24"/>
  <c r="AK12" i="24"/>
  <c r="AK11" i="24"/>
  <c r="AK10" i="24"/>
  <c r="AK9" i="24"/>
  <c r="AK8" i="24"/>
  <c r="AK7" i="24"/>
  <c r="AK6" i="24"/>
  <c r="E6" i="24"/>
  <c r="AK5" i="24"/>
  <c r="E5" i="24"/>
  <c r="AK4" i="24"/>
  <c r="E4" i="23"/>
  <c r="Q41" i="22"/>
  <c r="Q27" i="22"/>
  <c r="Q28" i="22"/>
  <c r="Q29" i="22"/>
  <c r="Q30" i="22"/>
  <c r="Q31" i="22"/>
  <c r="Q32" i="22"/>
  <c r="Q33" i="22"/>
  <c r="Q34" i="22"/>
  <c r="Q35" i="22"/>
  <c r="Q36" i="22"/>
  <c r="Q37" i="22"/>
  <c r="Q26" i="22"/>
  <c r="R39" i="22"/>
  <c r="E6" i="23"/>
  <c r="Q47" i="23" s="1"/>
  <c r="E5" i="23"/>
  <c r="CM38" i="9"/>
  <c r="CO38" i="9"/>
  <c r="E24" i="23"/>
  <c r="H24" i="23" s="1"/>
  <c r="E11" i="23"/>
  <c r="W29" i="23"/>
  <c r="Y28" i="23"/>
  <c r="W28" i="23"/>
  <c r="Q24" i="23"/>
  <c r="H23" i="23"/>
  <c r="I23" i="23" s="1"/>
  <c r="X28" i="23" s="1"/>
  <c r="Y17" i="23"/>
  <c r="AF17" i="23" s="1"/>
  <c r="Y16" i="23"/>
  <c r="AF16" i="23" s="1"/>
  <c r="AK14" i="23"/>
  <c r="AK13" i="23"/>
  <c r="AK12" i="23"/>
  <c r="AK11" i="23"/>
  <c r="AK10" i="23"/>
  <c r="AK9" i="23"/>
  <c r="AK8" i="23"/>
  <c r="AK7" i="23"/>
  <c r="AK6" i="23"/>
  <c r="AK5" i="23"/>
  <c r="AK4" i="23"/>
  <c r="I20" i="22"/>
  <c r="E20" i="22" s="1"/>
  <c r="G20" i="22" s="1"/>
  <c r="I27" i="22"/>
  <c r="E27" i="22" s="1"/>
  <c r="G27" i="22" s="1"/>
  <c r="I26" i="22"/>
  <c r="E26" i="22" s="1"/>
  <c r="G26" i="22" s="1"/>
  <c r="G29" i="22"/>
  <c r="G22" i="22"/>
  <c r="I19" i="22"/>
  <c r="E19" i="22" s="1"/>
  <c r="O47" i="18"/>
  <c r="G26" i="20"/>
  <c r="AI49" i="19"/>
  <c r="N9" i="20"/>
  <c r="N10" i="20"/>
  <c r="M8" i="20"/>
  <c r="D10" i="9"/>
  <c r="S76" i="9" s="1"/>
  <c r="D9" i="9"/>
  <c r="D8" i="9"/>
  <c r="P107" i="9" s="1"/>
  <c r="P111" i="9" s="1"/>
  <c r="DN46" i="21"/>
  <c r="P46" i="18" s="1"/>
  <c r="CV29" i="9" s="1"/>
  <c r="DN45" i="21"/>
  <c r="P45" i="18" s="1"/>
  <c r="CV28" i="9" s="1"/>
  <c r="DN44" i="21"/>
  <c r="P44" i="18" s="1"/>
  <c r="CV27" i="9" s="1"/>
  <c r="DN43" i="21"/>
  <c r="P43" i="18" s="1"/>
  <c r="CV26" i="9" s="1"/>
  <c r="DN42" i="21"/>
  <c r="P42" i="18" s="1"/>
  <c r="CV25" i="9" s="1"/>
  <c r="DN41" i="21"/>
  <c r="P41" i="18" s="1"/>
  <c r="CV24" i="9" s="1"/>
  <c r="DN40" i="21"/>
  <c r="P40" i="18" s="1"/>
  <c r="CV23" i="9" s="1"/>
  <c r="DN39" i="21"/>
  <c r="P39" i="18" s="1"/>
  <c r="CV22" i="9" s="1"/>
  <c r="DN38" i="21"/>
  <c r="P38" i="18" s="1"/>
  <c r="CV21" i="9" s="1"/>
  <c r="DN37" i="21"/>
  <c r="P37" i="18" s="1"/>
  <c r="CV20" i="9" s="1"/>
  <c r="DN36" i="21"/>
  <c r="P36" i="18" s="1"/>
  <c r="CV19" i="9" s="1"/>
  <c r="DN35" i="21"/>
  <c r="P35" i="18" s="1"/>
  <c r="CV18" i="9" s="1"/>
  <c r="DN34" i="21"/>
  <c r="P34" i="18" s="1"/>
  <c r="CV17" i="9" s="1"/>
  <c r="DN33" i="21"/>
  <c r="P33" i="18" s="1"/>
  <c r="CV16" i="9" s="1"/>
  <c r="DN32" i="21"/>
  <c r="P32" i="18" s="1"/>
  <c r="CV15" i="9" s="1"/>
  <c r="DN31" i="21"/>
  <c r="P31" i="18" s="1"/>
  <c r="CV14" i="9" s="1"/>
  <c r="DN30" i="21"/>
  <c r="P30" i="18" s="1"/>
  <c r="CV13" i="9" s="1"/>
  <c r="DN29" i="21"/>
  <c r="P29" i="18" s="1"/>
  <c r="CV12" i="9" s="1"/>
  <c r="DN28" i="21"/>
  <c r="P28" i="18" s="1"/>
  <c r="CV11" i="9" s="1"/>
  <c r="CV10" i="9" s="1"/>
  <c r="DN27" i="21"/>
  <c r="P27" i="18" s="1"/>
  <c r="CH29" i="9" s="1"/>
  <c r="DN26" i="21"/>
  <c r="P26" i="18" s="1"/>
  <c r="CH28" i="9" s="1"/>
  <c r="DN25" i="21"/>
  <c r="P25" i="18" s="1"/>
  <c r="CH27" i="9" s="1"/>
  <c r="DN24" i="21"/>
  <c r="P24" i="18" s="1"/>
  <c r="CH26" i="9" s="1"/>
  <c r="DN23" i="21"/>
  <c r="P23" i="18" s="1"/>
  <c r="CH25" i="9" s="1"/>
  <c r="DN22" i="21"/>
  <c r="P22" i="18" s="1"/>
  <c r="CH24" i="9" s="1"/>
  <c r="DN21" i="21"/>
  <c r="P21" i="18" s="1"/>
  <c r="CH23" i="9" s="1"/>
  <c r="DN20" i="21"/>
  <c r="P20" i="18" s="1"/>
  <c r="CH22" i="9" s="1"/>
  <c r="DN19" i="21"/>
  <c r="P19" i="18" s="1"/>
  <c r="CH21" i="9" s="1"/>
  <c r="DN18" i="21"/>
  <c r="P18" i="18" s="1"/>
  <c r="CH20" i="9" s="1"/>
  <c r="DN17" i="21"/>
  <c r="P17" i="18" s="1"/>
  <c r="CH19" i="9" s="1"/>
  <c r="DN16" i="21"/>
  <c r="P16" i="18" s="1"/>
  <c r="CH18" i="9" s="1"/>
  <c r="DN15" i="21"/>
  <c r="P15" i="18" s="1"/>
  <c r="CH17" i="9" s="1"/>
  <c r="DN14" i="21"/>
  <c r="P14" i="18" s="1"/>
  <c r="CH16" i="9" s="1"/>
  <c r="DN13" i="21"/>
  <c r="P13" i="18" s="1"/>
  <c r="CH15" i="9" s="1"/>
  <c r="DN12" i="21"/>
  <c r="P12" i="18" s="1"/>
  <c r="CH14" i="9" s="1"/>
  <c r="DN11" i="21"/>
  <c r="P11" i="18" s="1"/>
  <c r="CH13" i="9" s="1"/>
  <c r="DN10" i="21"/>
  <c r="P10" i="18" s="1"/>
  <c r="CH12" i="9" s="1"/>
  <c r="DN9" i="21"/>
  <c r="P9" i="18" s="1"/>
  <c r="CH11" i="9" s="1"/>
  <c r="CH10" i="9" s="1"/>
  <c r="DD46" i="21"/>
  <c r="O46" i="18" s="1"/>
  <c r="CU29" i="9" s="1"/>
  <c r="DD45" i="21"/>
  <c r="O45" i="18" s="1"/>
  <c r="CU28" i="9" s="1"/>
  <c r="DD44" i="21"/>
  <c r="O44" i="18" s="1"/>
  <c r="CU27" i="9" s="1"/>
  <c r="DD43" i="21"/>
  <c r="O43" i="18" s="1"/>
  <c r="CU26" i="9" s="1"/>
  <c r="DD42" i="21"/>
  <c r="O42" i="18" s="1"/>
  <c r="CU25" i="9" s="1"/>
  <c r="DD41" i="21"/>
  <c r="O41" i="18" s="1"/>
  <c r="CU24" i="9" s="1"/>
  <c r="DD40" i="21"/>
  <c r="O40" i="18" s="1"/>
  <c r="CU23" i="9" s="1"/>
  <c r="DD39" i="21"/>
  <c r="O39" i="18" s="1"/>
  <c r="CU22" i="9" s="1"/>
  <c r="DD38" i="21"/>
  <c r="O38" i="18" s="1"/>
  <c r="CU21" i="9" s="1"/>
  <c r="DD37" i="21"/>
  <c r="O37" i="18" s="1"/>
  <c r="CU20" i="9" s="1"/>
  <c r="DD36" i="21"/>
  <c r="O36" i="18" s="1"/>
  <c r="CU19" i="9" s="1"/>
  <c r="DD35" i="21"/>
  <c r="O35" i="18" s="1"/>
  <c r="CU18" i="9" s="1"/>
  <c r="DD34" i="21"/>
  <c r="O34" i="18" s="1"/>
  <c r="CU17" i="9" s="1"/>
  <c r="DD33" i="21"/>
  <c r="O33" i="18" s="1"/>
  <c r="CU16" i="9" s="1"/>
  <c r="DD32" i="21"/>
  <c r="O32" i="18" s="1"/>
  <c r="CU15" i="9" s="1"/>
  <c r="DD31" i="21"/>
  <c r="O31" i="18" s="1"/>
  <c r="CU14" i="9" s="1"/>
  <c r="DD30" i="21"/>
  <c r="O30" i="18" s="1"/>
  <c r="CU13" i="9" s="1"/>
  <c r="DD29" i="21"/>
  <c r="O29" i="18" s="1"/>
  <c r="CU12" i="9" s="1"/>
  <c r="DD28" i="21"/>
  <c r="O28" i="18" s="1"/>
  <c r="CU11" i="9" s="1"/>
  <c r="CU10" i="9" s="1"/>
  <c r="DD27" i="21"/>
  <c r="O27" i="18" s="1"/>
  <c r="CG29" i="9" s="1"/>
  <c r="DD26" i="21"/>
  <c r="O26" i="18" s="1"/>
  <c r="CG28" i="9" s="1"/>
  <c r="DD25" i="21"/>
  <c r="O25" i="18" s="1"/>
  <c r="CG27" i="9" s="1"/>
  <c r="DD24" i="21"/>
  <c r="O24" i="18" s="1"/>
  <c r="CG26" i="9" s="1"/>
  <c r="DD23" i="21"/>
  <c r="O23" i="18" s="1"/>
  <c r="CG25" i="9" s="1"/>
  <c r="DD22" i="21"/>
  <c r="O22" i="18" s="1"/>
  <c r="CG24" i="9" s="1"/>
  <c r="DD21" i="21"/>
  <c r="O21" i="18" s="1"/>
  <c r="CG23" i="9" s="1"/>
  <c r="DD20" i="21"/>
  <c r="O20" i="18" s="1"/>
  <c r="CG22" i="9" s="1"/>
  <c r="DD19" i="21"/>
  <c r="O19" i="18" s="1"/>
  <c r="CG21" i="9" s="1"/>
  <c r="DD18" i="21"/>
  <c r="O18" i="18" s="1"/>
  <c r="CG20" i="9" s="1"/>
  <c r="DD17" i="21"/>
  <c r="O17" i="18" s="1"/>
  <c r="CG19" i="9" s="1"/>
  <c r="DD16" i="21"/>
  <c r="O16" i="18" s="1"/>
  <c r="CG18" i="9" s="1"/>
  <c r="DD15" i="21"/>
  <c r="O15" i="18" s="1"/>
  <c r="CG17" i="9" s="1"/>
  <c r="DD14" i="21"/>
  <c r="O14" i="18" s="1"/>
  <c r="CG16" i="9" s="1"/>
  <c r="DD13" i="21"/>
  <c r="O13" i="18" s="1"/>
  <c r="CG15" i="9" s="1"/>
  <c r="DD12" i="21"/>
  <c r="O12" i="18" s="1"/>
  <c r="CG14" i="9" s="1"/>
  <c r="DD11" i="21"/>
  <c r="O11" i="18" s="1"/>
  <c r="CG13" i="9" s="1"/>
  <c r="DD10" i="21"/>
  <c r="O10" i="18" s="1"/>
  <c r="CG12" i="9" s="1"/>
  <c r="DD9" i="21"/>
  <c r="O9" i="18" s="1"/>
  <c r="CG11" i="9" s="1"/>
  <c r="CG10" i="9" s="1"/>
  <c r="CT46" i="21"/>
  <c r="N46" i="18" s="1"/>
  <c r="CT29" i="9" s="1"/>
  <c r="CT45" i="21"/>
  <c r="N45" i="18" s="1"/>
  <c r="CT28" i="9" s="1"/>
  <c r="CT44" i="21"/>
  <c r="N44" i="18" s="1"/>
  <c r="CT27" i="9" s="1"/>
  <c r="CT43" i="21"/>
  <c r="N43" i="18" s="1"/>
  <c r="CT26" i="9" s="1"/>
  <c r="CT42" i="21"/>
  <c r="N42" i="18" s="1"/>
  <c r="CT25" i="9" s="1"/>
  <c r="CT41" i="21"/>
  <c r="N41" i="18" s="1"/>
  <c r="CT24" i="9" s="1"/>
  <c r="CT40" i="21"/>
  <c r="N40" i="18" s="1"/>
  <c r="CT23" i="9" s="1"/>
  <c r="CT39" i="21"/>
  <c r="N39" i="18" s="1"/>
  <c r="CT22" i="9" s="1"/>
  <c r="CT38" i="21"/>
  <c r="N38" i="18" s="1"/>
  <c r="CT21" i="9" s="1"/>
  <c r="CT37" i="21"/>
  <c r="N37" i="18" s="1"/>
  <c r="CT20" i="9" s="1"/>
  <c r="CT36" i="21"/>
  <c r="N36" i="18" s="1"/>
  <c r="CT19" i="9" s="1"/>
  <c r="CT35" i="21"/>
  <c r="N35" i="18" s="1"/>
  <c r="CT18" i="9" s="1"/>
  <c r="CT34" i="21"/>
  <c r="N34" i="18" s="1"/>
  <c r="CT17" i="9" s="1"/>
  <c r="CT33" i="21"/>
  <c r="N33" i="18" s="1"/>
  <c r="CT16" i="9" s="1"/>
  <c r="CT32" i="21"/>
  <c r="N32" i="18" s="1"/>
  <c r="CT15" i="9" s="1"/>
  <c r="CT31" i="21"/>
  <c r="N31" i="18" s="1"/>
  <c r="CT14" i="9" s="1"/>
  <c r="CT30" i="21"/>
  <c r="N30" i="18" s="1"/>
  <c r="CT13" i="9" s="1"/>
  <c r="CT29" i="21"/>
  <c r="N29" i="18" s="1"/>
  <c r="CT12" i="9" s="1"/>
  <c r="CT28" i="21"/>
  <c r="N28" i="18" s="1"/>
  <c r="CT11" i="9" s="1"/>
  <c r="CT10" i="9" s="1"/>
  <c r="CT27" i="21"/>
  <c r="N27" i="18" s="1"/>
  <c r="CF29" i="9" s="1"/>
  <c r="CT26" i="21"/>
  <c r="N26" i="18" s="1"/>
  <c r="CF28" i="9" s="1"/>
  <c r="CT25" i="21"/>
  <c r="N25" i="18" s="1"/>
  <c r="CF27" i="9" s="1"/>
  <c r="CT24" i="21"/>
  <c r="N24" i="18" s="1"/>
  <c r="CF26" i="9" s="1"/>
  <c r="CT23" i="21"/>
  <c r="N23" i="18" s="1"/>
  <c r="CF25" i="9" s="1"/>
  <c r="CT22" i="21"/>
  <c r="N22" i="18" s="1"/>
  <c r="CF24" i="9" s="1"/>
  <c r="CT21" i="21"/>
  <c r="N21" i="18" s="1"/>
  <c r="CF23" i="9" s="1"/>
  <c r="CT20" i="21"/>
  <c r="N20" i="18" s="1"/>
  <c r="CF22" i="9" s="1"/>
  <c r="CT19" i="21"/>
  <c r="N19" i="18" s="1"/>
  <c r="CF21" i="9" s="1"/>
  <c r="CT18" i="21"/>
  <c r="N18" i="18" s="1"/>
  <c r="CF20" i="9" s="1"/>
  <c r="CT17" i="21"/>
  <c r="N17" i="18" s="1"/>
  <c r="CF19" i="9" s="1"/>
  <c r="CT16" i="21"/>
  <c r="N16" i="18" s="1"/>
  <c r="CF18" i="9" s="1"/>
  <c r="CT15" i="21"/>
  <c r="N15" i="18" s="1"/>
  <c r="CF17" i="9" s="1"/>
  <c r="CT14" i="21"/>
  <c r="N14" i="18" s="1"/>
  <c r="CF16" i="9" s="1"/>
  <c r="CT13" i="21"/>
  <c r="N13" i="18" s="1"/>
  <c r="CF15" i="9" s="1"/>
  <c r="CT12" i="21"/>
  <c r="N12" i="18" s="1"/>
  <c r="CF14" i="9" s="1"/>
  <c r="CT11" i="21"/>
  <c r="N11" i="18" s="1"/>
  <c r="CF13" i="9" s="1"/>
  <c r="CT10" i="21"/>
  <c r="N10" i="18" s="1"/>
  <c r="CF12" i="9" s="1"/>
  <c r="CT9" i="21"/>
  <c r="N9" i="18" s="1"/>
  <c r="CF11" i="9" s="1"/>
  <c r="CF10" i="9" s="1"/>
  <c r="CJ46" i="21"/>
  <c r="M46" i="18" s="1"/>
  <c r="CS29" i="9" s="1"/>
  <c r="CJ45" i="21"/>
  <c r="M45" i="18" s="1"/>
  <c r="CS28" i="9" s="1"/>
  <c r="CJ44" i="21"/>
  <c r="M44" i="18" s="1"/>
  <c r="CS27" i="9" s="1"/>
  <c r="CJ43" i="21"/>
  <c r="M43" i="18" s="1"/>
  <c r="CS26" i="9" s="1"/>
  <c r="CJ42" i="21"/>
  <c r="M42" i="18" s="1"/>
  <c r="CS25" i="9" s="1"/>
  <c r="CJ41" i="21"/>
  <c r="M41" i="18" s="1"/>
  <c r="CS24" i="9" s="1"/>
  <c r="CJ40" i="21"/>
  <c r="M40" i="18" s="1"/>
  <c r="CS23" i="9" s="1"/>
  <c r="CJ39" i="21"/>
  <c r="M39" i="18" s="1"/>
  <c r="CS22" i="9" s="1"/>
  <c r="CJ38" i="21"/>
  <c r="M38" i="18" s="1"/>
  <c r="CS21" i="9" s="1"/>
  <c r="CJ37" i="21"/>
  <c r="M37" i="18" s="1"/>
  <c r="CS20" i="9" s="1"/>
  <c r="CJ36" i="21"/>
  <c r="M36" i="18" s="1"/>
  <c r="CS19" i="9" s="1"/>
  <c r="CJ35" i="21"/>
  <c r="M35" i="18" s="1"/>
  <c r="CS18" i="9" s="1"/>
  <c r="CJ34" i="21"/>
  <c r="M34" i="18" s="1"/>
  <c r="CS17" i="9" s="1"/>
  <c r="CJ33" i="21"/>
  <c r="M33" i="18" s="1"/>
  <c r="CS16" i="9" s="1"/>
  <c r="CJ32" i="21"/>
  <c r="M32" i="18" s="1"/>
  <c r="CS15" i="9" s="1"/>
  <c r="CJ31" i="21"/>
  <c r="M31" i="18" s="1"/>
  <c r="CS14" i="9" s="1"/>
  <c r="CJ30" i="21"/>
  <c r="M30" i="18" s="1"/>
  <c r="CS13" i="9" s="1"/>
  <c r="CJ29" i="21"/>
  <c r="M29" i="18" s="1"/>
  <c r="CS12" i="9" s="1"/>
  <c r="CJ28" i="21"/>
  <c r="M28" i="18" s="1"/>
  <c r="CS11" i="9" s="1"/>
  <c r="CS10" i="9" s="1"/>
  <c r="CJ27" i="21"/>
  <c r="M27" i="18" s="1"/>
  <c r="CE29" i="9" s="1"/>
  <c r="CJ26" i="21"/>
  <c r="M26" i="18" s="1"/>
  <c r="CE28" i="9" s="1"/>
  <c r="CJ25" i="21"/>
  <c r="M25" i="18" s="1"/>
  <c r="CE27" i="9" s="1"/>
  <c r="CJ24" i="21"/>
  <c r="M24" i="18" s="1"/>
  <c r="CE26" i="9" s="1"/>
  <c r="CJ23" i="21"/>
  <c r="M23" i="18" s="1"/>
  <c r="CE25" i="9" s="1"/>
  <c r="CJ22" i="21"/>
  <c r="M22" i="18" s="1"/>
  <c r="CE24" i="9" s="1"/>
  <c r="CJ21" i="21"/>
  <c r="M21" i="18" s="1"/>
  <c r="CE23" i="9" s="1"/>
  <c r="CJ20" i="21"/>
  <c r="M20" i="18" s="1"/>
  <c r="CE22" i="9" s="1"/>
  <c r="CJ19" i="21"/>
  <c r="M19" i="18" s="1"/>
  <c r="CE21" i="9" s="1"/>
  <c r="CJ18" i="21"/>
  <c r="M18" i="18" s="1"/>
  <c r="CE20" i="9" s="1"/>
  <c r="CJ17" i="21"/>
  <c r="M17" i="18" s="1"/>
  <c r="CE19" i="9" s="1"/>
  <c r="CJ16" i="21"/>
  <c r="M16" i="18" s="1"/>
  <c r="CE18" i="9" s="1"/>
  <c r="CJ15" i="21"/>
  <c r="M15" i="18" s="1"/>
  <c r="CE17" i="9" s="1"/>
  <c r="CJ14" i="21"/>
  <c r="M14" i="18" s="1"/>
  <c r="CE16" i="9" s="1"/>
  <c r="CJ13" i="21"/>
  <c r="M13" i="18" s="1"/>
  <c r="CE15" i="9" s="1"/>
  <c r="CJ12" i="21"/>
  <c r="M12" i="18" s="1"/>
  <c r="CE14" i="9" s="1"/>
  <c r="CJ11" i="21"/>
  <c r="M11" i="18" s="1"/>
  <c r="CE13" i="9" s="1"/>
  <c r="CJ10" i="21"/>
  <c r="M10" i="18" s="1"/>
  <c r="CE12" i="9" s="1"/>
  <c r="CJ9" i="21"/>
  <c r="M9" i="18" s="1"/>
  <c r="CE11" i="9" s="1"/>
  <c r="CE10" i="9" s="1"/>
  <c r="BZ46" i="21"/>
  <c r="L46" i="18" s="1"/>
  <c r="CR29" i="9" s="1"/>
  <c r="BZ45" i="21"/>
  <c r="L45" i="18" s="1"/>
  <c r="CR28" i="9" s="1"/>
  <c r="BZ44" i="21"/>
  <c r="L44" i="18" s="1"/>
  <c r="CR27" i="9" s="1"/>
  <c r="BZ43" i="21"/>
  <c r="L43" i="18" s="1"/>
  <c r="CR26" i="9" s="1"/>
  <c r="BZ42" i="21"/>
  <c r="L42" i="18" s="1"/>
  <c r="CR25" i="9" s="1"/>
  <c r="BZ41" i="21"/>
  <c r="L41" i="18" s="1"/>
  <c r="CR24" i="9" s="1"/>
  <c r="BZ40" i="21"/>
  <c r="L40" i="18" s="1"/>
  <c r="CR23" i="9" s="1"/>
  <c r="BZ39" i="21"/>
  <c r="L39" i="18" s="1"/>
  <c r="CR22" i="9" s="1"/>
  <c r="BZ38" i="21"/>
  <c r="L38" i="18" s="1"/>
  <c r="CR21" i="9" s="1"/>
  <c r="BZ37" i="21"/>
  <c r="L37" i="18" s="1"/>
  <c r="CR20" i="9" s="1"/>
  <c r="BZ36" i="21"/>
  <c r="L36" i="18" s="1"/>
  <c r="CR19" i="9" s="1"/>
  <c r="BZ35" i="21"/>
  <c r="L35" i="18" s="1"/>
  <c r="CR18" i="9" s="1"/>
  <c r="BZ34" i="21"/>
  <c r="L34" i="18" s="1"/>
  <c r="CR17" i="9" s="1"/>
  <c r="BZ33" i="21"/>
  <c r="L33" i="18" s="1"/>
  <c r="CR16" i="9" s="1"/>
  <c r="BZ32" i="21"/>
  <c r="L32" i="18" s="1"/>
  <c r="CR15" i="9" s="1"/>
  <c r="BZ31" i="21"/>
  <c r="L31" i="18" s="1"/>
  <c r="CR14" i="9" s="1"/>
  <c r="BZ30" i="21"/>
  <c r="L30" i="18" s="1"/>
  <c r="CR13" i="9" s="1"/>
  <c r="BZ29" i="21"/>
  <c r="L29" i="18" s="1"/>
  <c r="CR12" i="9" s="1"/>
  <c r="BZ28" i="21"/>
  <c r="L28" i="18" s="1"/>
  <c r="CR11" i="9" s="1"/>
  <c r="CR10" i="9" s="1"/>
  <c r="BZ27" i="21"/>
  <c r="L27" i="18" s="1"/>
  <c r="CD29" i="9" s="1"/>
  <c r="BZ26" i="21"/>
  <c r="L26" i="18" s="1"/>
  <c r="CD28" i="9" s="1"/>
  <c r="BZ25" i="21"/>
  <c r="L25" i="18" s="1"/>
  <c r="CD27" i="9" s="1"/>
  <c r="BZ24" i="21"/>
  <c r="L24" i="18" s="1"/>
  <c r="CD26" i="9" s="1"/>
  <c r="BZ23" i="21"/>
  <c r="L23" i="18" s="1"/>
  <c r="CD25" i="9" s="1"/>
  <c r="BZ22" i="21"/>
  <c r="L22" i="18" s="1"/>
  <c r="CD24" i="9" s="1"/>
  <c r="BZ21" i="21"/>
  <c r="L21" i="18" s="1"/>
  <c r="CD23" i="9" s="1"/>
  <c r="BZ20" i="21"/>
  <c r="L20" i="18" s="1"/>
  <c r="CD22" i="9" s="1"/>
  <c r="BZ19" i="21"/>
  <c r="L19" i="18" s="1"/>
  <c r="CD21" i="9" s="1"/>
  <c r="BZ18" i="21"/>
  <c r="L18" i="18" s="1"/>
  <c r="CD20" i="9" s="1"/>
  <c r="BZ17" i="21"/>
  <c r="L17" i="18" s="1"/>
  <c r="CD19" i="9" s="1"/>
  <c r="BZ16" i="21"/>
  <c r="L16" i="18" s="1"/>
  <c r="CD18" i="9" s="1"/>
  <c r="BZ15" i="21"/>
  <c r="L15" i="18" s="1"/>
  <c r="CD17" i="9" s="1"/>
  <c r="BZ14" i="21"/>
  <c r="L14" i="18" s="1"/>
  <c r="CD16" i="9" s="1"/>
  <c r="BZ13" i="21"/>
  <c r="L13" i="18" s="1"/>
  <c r="CD15" i="9" s="1"/>
  <c r="BZ12" i="21"/>
  <c r="L12" i="18" s="1"/>
  <c r="CD14" i="9" s="1"/>
  <c r="BZ11" i="21"/>
  <c r="L11" i="18" s="1"/>
  <c r="CD13" i="9" s="1"/>
  <c r="BZ10" i="21"/>
  <c r="L10" i="18" s="1"/>
  <c r="CD12" i="9" s="1"/>
  <c r="BZ9" i="21"/>
  <c r="L9" i="18" s="1"/>
  <c r="CD11" i="9" s="1"/>
  <c r="CD10" i="9" s="1"/>
  <c r="BP46" i="21"/>
  <c r="K46" i="18" s="1"/>
  <c r="CQ29" i="9" s="1"/>
  <c r="BP45" i="21"/>
  <c r="K45" i="18" s="1"/>
  <c r="CQ28" i="9" s="1"/>
  <c r="BP44" i="21"/>
  <c r="K44" i="18" s="1"/>
  <c r="CQ27" i="9" s="1"/>
  <c r="BP43" i="21"/>
  <c r="K43" i="18" s="1"/>
  <c r="CQ26" i="9" s="1"/>
  <c r="BP42" i="21"/>
  <c r="K42" i="18" s="1"/>
  <c r="CQ25" i="9" s="1"/>
  <c r="BP41" i="21"/>
  <c r="K41" i="18" s="1"/>
  <c r="CQ24" i="9" s="1"/>
  <c r="BP40" i="21"/>
  <c r="K40" i="18" s="1"/>
  <c r="CQ23" i="9" s="1"/>
  <c r="BP39" i="21"/>
  <c r="K39" i="18" s="1"/>
  <c r="CQ22" i="9" s="1"/>
  <c r="BP38" i="21"/>
  <c r="K38" i="18" s="1"/>
  <c r="CQ21" i="9" s="1"/>
  <c r="BP37" i="21"/>
  <c r="K37" i="18" s="1"/>
  <c r="CQ20" i="9" s="1"/>
  <c r="BP36" i="21"/>
  <c r="K36" i="18" s="1"/>
  <c r="CQ19" i="9" s="1"/>
  <c r="BP35" i="21"/>
  <c r="K35" i="18" s="1"/>
  <c r="CQ18" i="9" s="1"/>
  <c r="BP34" i="21"/>
  <c r="K34" i="18" s="1"/>
  <c r="CQ17" i="9" s="1"/>
  <c r="BP33" i="21"/>
  <c r="K33" i="18" s="1"/>
  <c r="CQ16" i="9" s="1"/>
  <c r="BP32" i="21"/>
  <c r="K32" i="18" s="1"/>
  <c r="CQ15" i="9" s="1"/>
  <c r="BP31" i="21"/>
  <c r="K31" i="18" s="1"/>
  <c r="CQ14" i="9" s="1"/>
  <c r="BP30" i="21"/>
  <c r="K30" i="18" s="1"/>
  <c r="CQ13" i="9" s="1"/>
  <c r="BP29" i="21"/>
  <c r="K29" i="18" s="1"/>
  <c r="CQ12" i="9" s="1"/>
  <c r="BP28" i="21"/>
  <c r="K28" i="18" s="1"/>
  <c r="CQ11" i="9" s="1"/>
  <c r="CQ10" i="9" s="1"/>
  <c r="BP27" i="21"/>
  <c r="K27" i="18" s="1"/>
  <c r="CC29" i="9" s="1"/>
  <c r="BP26" i="21"/>
  <c r="K26" i="18" s="1"/>
  <c r="CC28" i="9" s="1"/>
  <c r="BP25" i="21"/>
  <c r="K25" i="18" s="1"/>
  <c r="CC27" i="9" s="1"/>
  <c r="BP24" i="21"/>
  <c r="K24" i="18" s="1"/>
  <c r="CC26" i="9" s="1"/>
  <c r="BP23" i="21"/>
  <c r="K23" i="18" s="1"/>
  <c r="CC25" i="9" s="1"/>
  <c r="BP22" i="21"/>
  <c r="K22" i="18" s="1"/>
  <c r="CC24" i="9" s="1"/>
  <c r="BP21" i="21"/>
  <c r="K21" i="18" s="1"/>
  <c r="CC23" i="9" s="1"/>
  <c r="BP20" i="21"/>
  <c r="K20" i="18" s="1"/>
  <c r="CC22" i="9" s="1"/>
  <c r="BP19" i="21"/>
  <c r="K19" i="18" s="1"/>
  <c r="CC21" i="9" s="1"/>
  <c r="BP18" i="21"/>
  <c r="K18" i="18" s="1"/>
  <c r="CC20" i="9" s="1"/>
  <c r="BP17" i="21"/>
  <c r="K17" i="18" s="1"/>
  <c r="CC19" i="9" s="1"/>
  <c r="BP16" i="21"/>
  <c r="K16" i="18" s="1"/>
  <c r="CC18" i="9" s="1"/>
  <c r="BP15" i="21"/>
  <c r="K15" i="18" s="1"/>
  <c r="CC17" i="9" s="1"/>
  <c r="BP14" i="21"/>
  <c r="K14" i="18" s="1"/>
  <c r="CC16" i="9" s="1"/>
  <c r="BP13" i="21"/>
  <c r="K13" i="18" s="1"/>
  <c r="CC15" i="9" s="1"/>
  <c r="BP12" i="21"/>
  <c r="K12" i="18" s="1"/>
  <c r="CC14" i="9" s="1"/>
  <c r="BP11" i="21"/>
  <c r="K11" i="18" s="1"/>
  <c r="CC13" i="9" s="1"/>
  <c r="BP10" i="21"/>
  <c r="K10" i="18" s="1"/>
  <c r="CC12" i="9" s="1"/>
  <c r="BP9" i="21"/>
  <c r="K9" i="18" s="1"/>
  <c r="CC11" i="9" s="1"/>
  <c r="CC10" i="9" s="1"/>
  <c r="BF46" i="21"/>
  <c r="J46" i="18" s="1"/>
  <c r="CP29" i="9" s="1"/>
  <c r="BF45" i="21"/>
  <c r="J45" i="18" s="1"/>
  <c r="CP28" i="9" s="1"/>
  <c r="BF44" i="21"/>
  <c r="J44" i="18" s="1"/>
  <c r="CP27" i="9" s="1"/>
  <c r="BF43" i="21"/>
  <c r="J43" i="18" s="1"/>
  <c r="CP26" i="9" s="1"/>
  <c r="BF42" i="21"/>
  <c r="J42" i="18" s="1"/>
  <c r="CP25" i="9" s="1"/>
  <c r="BF41" i="21"/>
  <c r="J41" i="18" s="1"/>
  <c r="CP24" i="9" s="1"/>
  <c r="BF40" i="21"/>
  <c r="J40" i="18" s="1"/>
  <c r="CP23" i="9" s="1"/>
  <c r="BF39" i="21"/>
  <c r="J39" i="18" s="1"/>
  <c r="CP22" i="9" s="1"/>
  <c r="BF38" i="21"/>
  <c r="J38" i="18" s="1"/>
  <c r="CP21" i="9" s="1"/>
  <c r="BF37" i="21"/>
  <c r="J37" i="18" s="1"/>
  <c r="CP20" i="9" s="1"/>
  <c r="BF36" i="21"/>
  <c r="J36" i="18" s="1"/>
  <c r="CP19" i="9" s="1"/>
  <c r="BF35" i="21"/>
  <c r="J35" i="18" s="1"/>
  <c r="CP18" i="9" s="1"/>
  <c r="BF34" i="21"/>
  <c r="J34" i="18" s="1"/>
  <c r="CP17" i="9" s="1"/>
  <c r="BF33" i="21"/>
  <c r="J33" i="18" s="1"/>
  <c r="CP16" i="9" s="1"/>
  <c r="BF32" i="21"/>
  <c r="J32" i="18" s="1"/>
  <c r="CP15" i="9" s="1"/>
  <c r="BF31" i="21"/>
  <c r="J31" i="18" s="1"/>
  <c r="CP14" i="9" s="1"/>
  <c r="BF30" i="21"/>
  <c r="J30" i="18" s="1"/>
  <c r="CP13" i="9" s="1"/>
  <c r="BF29" i="21"/>
  <c r="J29" i="18" s="1"/>
  <c r="CP12" i="9" s="1"/>
  <c r="BF28" i="21"/>
  <c r="J28" i="18" s="1"/>
  <c r="CP11" i="9" s="1"/>
  <c r="CP10" i="9" s="1"/>
  <c r="BF27" i="21"/>
  <c r="J27" i="18" s="1"/>
  <c r="CB29" i="9" s="1"/>
  <c r="BF26" i="21"/>
  <c r="J26" i="18" s="1"/>
  <c r="CB28" i="9" s="1"/>
  <c r="BF25" i="21"/>
  <c r="J25" i="18" s="1"/>
  <c r="CB27" i="9" s="1"/>
  <c r="BF24" i="21"/>
  <c r="J24" i="18" s="1"/>
  <c r="CB26" i="9" s="1"/>
  <c r="BF23" i="21"/>
  <c r="J23" i="18" s="1"/>
  <c r="CB25" i="9" s="1"/>
  <c r="BF22" i="21"/>
  <c r="J22" i="18" s="1"/>
  <c r="CB24" i="9" s="1"/>
  <c r="BF21" i="21"/>
  <c r="J21" i="18" s="1"/>
  <c r="CB23" i="9" s="1"/>
  <c r="BF20" i="21"/>
  <c r="J20" i="18" s="1"/>
  <c r="CB22" i="9" s="1"/>
  <c r="BF19" i="21"/>
  <c r="J19" i="18" s="1"/>
  <c r="CB21" i="9" s="1"/>
  <c r="BF18" i="21"/>
  <c r="J18" i="18" s="1"/>
  <c r="CB20" i="9" s="1"/>
  <c r="BF17" i="21"/>
  <c r="J17" i="18" s="1"/>
  <c r="CB19" i="9" s="1"/>
  <c r="BF16" i="21"/>
  <c r="J16" i="18" s="1"/>
  <c r="CB18" i="9" s="1"/>
  <c r="BF15" i="21"/>
  <c r="J15" i="18" s="1"/>
  <c r="CB17" i="9" s="1"/>
  <c r="BF14" i="21"/>
  <c r="J14" i="18" s="1"/>
  <c r="CB16" i="9" s="1"/>
  <c r="BF13" i="21"/>
  <c r="J13" i="18" s="1"/>
  <c r="CB15" i="9" s="1"/>
  <c r="BF12" i="21"/>
  <c r="J12" i="18" s="1"/>
  <c r="CB14" i="9" s="1"/>
  <c r="BF11" i="21"/>
  <c r="J11" i="18" s="1"/>
  <c r="CB13" i="9" s="1"/>
  <c r="BF10" i="21"/>
  <c r="J10" i="18" s="1"/>
  <c r="CB12" i="9" s="1"/>
  <c r="BF9" i="21"/>
  <c r="J9" i="18" s="1"/>
  <c r="CB11" i="9" s="1"/>
  <c r="CB10" i="9" s="1"/>
  <c r="AW46" i="21"/>
  <c r="I46" i="18" s="1"/>
  <c r="CO29" i="9" s="1"/>
  <c r="AW45" i="21"/>
  <c r="I45" i="18" s="1"/>
  <c r="CO28" i="9" s="1"/>
  <c r="AW44" i="21"/>
  <c r="I44" i="18" s="1"/>
  <c r="CO27" i="9" s="1"/>
  <c r="AW43" i="21"/>
  <c r="I43" i="18" s="1"/>
  <c r="CO26" i="9" s="1"/>
  <c r="AW42" i="21"/>
  <c r="I42" i="18" s="1"/>
  <c r="CO25" i="9" s="1"/>
  <c r="AW41" i="21"/>
  <c r="I41" i="18" s="1"/>
  <c r="CO24" i="9" s="1"/>
  <c r="AW40" i="21"/>
  <c r="I40" i="18" s="1"/>
  <c r="CO23" i="9" s="1"/>
  <c r="AW39" i="21"/>
  <c r="I39" i="18" s="1"/>
  <c r="CO22" i="9" s="1"/>
  <c r="AW38" i="21"/>
  <c r="I38" i="18" s="1"/>
  <c r="CO21" i="9" s="1"/>
  <c r="AW37" i="21"/>
  <c r="I37" i="18" s="1"/>
  <c r="CO20" i="9" s="1"/>
  <c r="AW36" i="21"/>
  <c r="I36" i="18" s="1"/>
  <c r="CO19" i="9" s="1"/>
  <c r="AW35" i="21"/>
  <c r="I35" i="18" s="1"/>
  <c r="CO18" i="9" s="1"/>
  <c r="AW34" i="21"/>
  <c r="I34" i="18" s="1"/>
  <c r="CO17" i="9" s="1"/>
  <c r="AW33" i="21"/>
  <c r="I33" i="18" s="1"/>
  <c r="CO16" i="9" s="1"/>
  <c r="AW32" i="21"/>
  <c r="I32" i="18" s="1"/>
  <c r="CO15" i="9" s="1"/>
  <c r="AW31" i="21"/>
  <c r="I31" i="18" s="1"/>
  <c r="CO14" i="9" s="1"/>
  <c r="AW30" i="21"/>
  <c r="I30" i="18" s="1"/>
  <c r="CO13" i="9" s="1"/>
  <c r="AW29" i="21"/>
  <c r="I29" i="18" s="1"/>
  <c r="CO12" i="9" s="1"/>
  <c r="AW28" i="21"/>
  <c r="I28" i="18" s="1"/>
  <c r="CO11" i="9" s="1"/>
  <c r="CO10" i="9" s="1"/>
  <c r="AW27" i="21"/>
  <c r="I27" i="18" s="1"/>
  <c r="CA29" i="9" s="1"/>
  <c r="AW26" i="21"/>
  <c r="I26" i="18" s="1"/>
  <c r="CA28" i="9" s="1"/>
  <c r="AW25" i="21"/>
  <c r="I25" i="18" s="1"/>
  <c r="CA27" i="9" s="1"/>
  <c r="AW24" i="21"/>
  <c r="I24" i="18" s="1"/>
  <c r="CA26" i="9" s="1"/>
  <c r="AW23" i="21"/>
  <c r="I23" i="18" s="1"/>
  <c r="CA25" i="9" s="1"/>
  <c r="AW22" i="21"/>
  <c r="I22" i="18" s="1"/>
  <c r="CA24" i="9" s="1"/>
  <c r="AW21" i="21"/>
  <c r="I21" i="18" s="1"/>
  <c r="CA23" i="9" s="1"/>
  <c r="AW20" i="21"/>
  <c r="I20" i="18" s="1"/>
  <c r="CA22" i="9" s="1"/>
  <c r="AW19" i="21"/>
  <c r="I19" i="18" s="1"/>
  <c r="CA21" i="9" s="1"/>
  <c r="AW18" i="21"/>
  <c r="I18" i="18" s="1"/>
  <c r="CA20" i="9" s="1"/>
  <c r="AW17" i="21"/>
  <c r="I17" i="18" s="1"/>
  <c r="CA19" i="9" s="1"/>
  <c r="AW16" i="21"/>
  <c r="I16" i="18" s="1"/>
  <c r="CA18" i="9" s="1"/>
  <c r="AW15" i="21"/>
  <c r="I15" i="18" s="1"/>
  <c r="CA17" i="9" s="1"/>
  <c r="AW14" i="21"/>
  <c r="I14" i="18" s="1"/>
  <c r="CA16" i="9" s="1"/>
  <c r="AW13" i="21"/>
  <c r="I13" i="18" s="1"/>
  <c r="CA15" i="9" s="1"/>
  <c r="AW12" i="21"/>
  <c r="I12" i="18" s="1"/>
  <c r="CA14" i="9" s="1"/>
  <c r="AW11" i="21"/>
  <c r="I11" i="18" s="1"/>
  <c r="CA13" i="9" s="1"/>
  <c r="AW10" i="21"/>
  <c r="I10" i="18" s="1"/>
  <c r="CA12" i="9" s="1"/>
  <c r="AW9" i="21"/>
  <c r="I9" i="18" s="1"/>
  <c r="CA11" i="9" s="1"/>
  <c r="CA10" i="9" s="1"/>
  <c r="AN46" i="21"/>
  <c r="H46" i="18" s="1"/>
  <c r="CN29" i="9" s="1"/>
  <c r="AN45" i="21"/>
  <c r="H45" i="18" s="1"/>
  <c r="CN28" i="9" s="1"/>
  <c r="AN44" i="21"/>
  <c r="H44" i="18" s="1"/>
  <c r="CN27" i="9" s="1"/>
  <c r="AN43" i="21"/>
  <c r="H43" i="18" s="1"/>
  <c r="CN26" i="9" s="1"/>
  <c r="AN42" i="21"/>
  <c r="H42" i="18" s="1"/>
  <c r="CN25" i="9" s="1"/>
  <c r="AN41" i="21"/>
  <c r="H41" i="18" s="1"/>
  <c r="CN24" i="9" s="1"/>
  <c r="AN40" i="21"/>
  <c r="H40" i="18" s="1"/>
  <c r="CN23" i="9" s="1"/>
  <c r="AN39" i="21"/>
  <c r="H39" i="18" s="1"/>
  <c r="CN22" i="9" s="1"/>
  <c r="AN38" i="21"/>
  <c r="H38" i="18" s="1"/>
  <c r="CN21" i="9" s="1"/>
  <c r="AN37" i="21"/>
  <c r="H37" i="18" s="1"/>
  <c r="CN20" i="9" s="1"/>
  <c r="AN36" i="21"/>
  <c r="H36" i="18" s="1"/>
  <c r="CN19" i="9" s="1"/>
  <c r="AN35" i="21"/>
  <c r="H35" i="18" s="1"/>
  <c r="CN18" i="9" s="1"/>
  <c r="AN34" i="21"/>
  <c r="H34" i="18" s="1"/>
  <c r="CN17" i="9" s="1"/>
  <c r="AN33" i="21"/>
  <c r="H33" i="18" s="1"/>
  <c r="CN16" i="9" s="1"/>
  <c r="AN32" i="21"/>
  <c r="H32" i="18" s="1"/>
  <c r="CN15" i="9" s="1"/>
  <c r="AN31" i="21"/>
  <c r="H31" i="18" s="1"/>
  <c r="CN14" i="9" s="1"/>
  <c r="AN30" i="21"/>
  <c r="H30" i="18" s="1"/>
  <c r="CN13" i="9" s="1"/>
  <c r="AN29" i="21"/>
  <c r="H29" i="18" s="1"/>
  <c r="CN12" i="9" s="1"/>
  <c r="AN28" i="21"/>
  <c r="H28" i="18" s="1"/>
  <c r="CN11" i="9" s="1"/>
  <c r="CN10" i="9" s="1"/>
  <c r="AN27" i="21"/>
  <c r="H27" i="18" s="1"/>
  <c r="BZ29" i="9" s="1"/>
  <c r="AN26" i="21"/>
  <c r="H26" i="18" s="1"/>
  <c r="BZ28" i="9" s="1"/>
  <c r="AN25" i="21"/>
  <c r="H25" i="18" s="1"/>
  <c r="BZ27" i="9" s="1"/>
  <c r="AN24" i="21"/>
  <c r="H24" i="18" s="1"/>
  <c r="BZ26" i="9" s="1"/>
  <c r="AN23" i="21"/>
  <c r="H23" i="18" s="1"/>
  <c r="BZ25" i="9" s="1"/>
  <c r="AN22" i="21"/>
  <c r="H22" i="18" s="1"/>
  <c r="BZ24" i="9" s="1"/>
  <c r="AN21" i="21"/>
  <c r="H21" i="18" s="1"/>
  <c r="BZ23" i="9" s="1"/>
  <c r="AN20" i="21"/>
  <c r="H20" i="18" s="1"/>
  <c r="BZ22" i="9" s="1"/>
  <c r="AN19" i="21"/>
  <c r="H19" i="18" s="1"/>
  <c r="BZ21" i="9" s="1"/>
  <c r="AN18" i="21"/>
  <c r="H18" i="18" s="1"/>
  <c r="BZ20" i="9" s="1"/>
  <c r="AN17" i="21"/>
  <c r="H17" i="18" s="1"/>
  <c r="BZ19" i="9" s="1"/>
  <c r="AN16" i="21"/>
  <c r="H16" i="18" s="1"/>
  <c r="BZ18" i="9" s="1"/>
  <c r="AN15" i="21"/>
  <c r="H15" i="18" s="1"/>
  <c r="BZ17" i="9" s="1"/>
  <c r="AN14" i="21"/>
  <c r="H14" i="18" s="1"/>
  <c r="BZ16" i="9" s="1"/>
  <c r="AN13" i="21"/>
  <c r="H13" i="18" s="1"/>
  <c r="BZ15" i="9" s="1"/>
  <c r="AN12" i="21"/>
  <c r="H12" i="18" s="1"/>
  <c r="BZ14" i="9" s="1"/>
  <c r="AN11" i="21"/>
  <c r="H11" i="18" s="1"/>
  <c r="BZ13" i="9" s="1"/>
  <c r="AN10" i="21"/>
  <c r="H10" i="18" s="1"/>
  <c r="BZ12" i="9" s="1"/>
  <c r="AN9" i="21"/>
  <c r="H9" i="18" s="1"/>
  <c r="BZ11" i="9" s="1"/>
  <c r="BZ10" i="9" s="1"/>
  <c r="AE46" i="21"/>
  <c r="G46" i="18" s="1"/>
  <c r="CM29" i="9" s="1"/>
  <c r="AE45" i="21"/>
  <c r="G45" i="18" s="1"/>
  <c r="CM28" i="9" s="1"/>
  <c r="AE44" i="21"/>
  <c r="G44" i="18" s="1"/>
  <c r="CM27" i="9" s="1"/>
  <c r="AE43" i="21"/>
  <c r="G43" i="18" s="1"/>
  <c r="CM26" i="9" s="1"/>
  <c r="AE42" i="21"/>
  <c r="G42" i="18" s="1"/>
  <c r="CM25" i="9" s="1"/>
  <c r="AE41" i="21"/>
  <c r="G41" i="18" s="1"/>
  <c r="CM24" i="9" s="1"/>
  <c r="AE40" i="21"/>
  <c r="G40" i="18" s="1"/>
  <c r="CM23" i="9" s="1"/>
  <c r="AE39" i="21"/>
  <c r="G39" i="18" s="1"/>
  <c r="CM22" i="9" s="1"/>
  <c r="AE38" i="21"/>
  <c r="G38" i="18" s="1"/>
  <c r="CM21" i="9" s="1"/>
  <c r="AE37" i="21"/>
  <c r="G37" i="18" s="1"/>
  <c r="CM20" i="9" s="1"/>
  <c r="AE36" i="21"/>
  <c r="G36" i="18" s="1"/>
  <c r="CM19" i="9" s="1"/>
  <c r="AE35" i="21"/>
  <c r="G35" i="18" s="1"/>
  <c r="CM18" i="9" s="1"/>
  <c r="AE34" i="21"/>
  <c r="G34" i="18" s="1"/>
  <c r="CM17" i="9" s="1"/>
  <c r="AE33" i="21"/>
  <c r="G33" i="18" s="1"/>
  <c r="CM16" i="9" s="1"/>
  <c r="AE32" i="21"/>
  <c r="G32" i="18" s="1"/>
  <c r="CM15" i="9" s="1"/>
  <c r="AE31" i="21"/>
  <c r="G31" i="18" s="1"/>
  <c r="CM14" i="9" s="1"/>
  <c r="AE30" i="21"/>
  <c r="G30" i="18" s="1"/>
  <c r="CM13" i="9" s="1"/>
  <c r="AE29" i="21"/>
  <c r="G29" i="18" s="1"/>
  <c r="CM12" i="9" s="1"/>
  <c r="AE28" i="21"/>
  <c r="G28" i="18" s="1"/>
  <c r="CM11" i="9" s="1"/>
  <c r="CM10" i="9" s="1"/>
  <c r="AE27" i="21"/>
  <c r="G27" i="18" s="1"/>
  <c r="BY29" i="9" s="1"/>
  <c r="AE26" i="21"/>
  <c r="G26" i="18" s="1"/>
  <c r="BY28" i="9" s="1"/>
  <c r="AE25" i="21"/>
  <c r="G25" i="18" s="1"/>
  <c r="BY27" i="9" s="1"/>
  <c r="AE24" i="21"/>
  <c r="G24" i="18" s="1"/>
  <c r="BY26" i="9" s="1"/>
  <c r="AE23" i="21"/>
  <c r="G23" i="18" s="1"/>
  <c r="BY25" i="9" s="1"/>
  <c r="AE22" i="21"/>
  <c r="G22" i="18" s="1"/>
  <c r="BY24" i="9" s="1"/>
  <c r="AE21" i="21"/>
  <c r="G21" i="18" s="1"/>
  <c r="BY23" i="9" s="1"/>
  <c r="AE20" i="21"/>
  <c r="G20" i="18" s="1"/>
  <c r="BY22" i="9" s="1"/>
  <c r="AE19" i="21"/>
  <c r="G19" i="18" s="1"/>
  <c r="BY21" i="9" s="1"/>
  <c r="AE18" i="21"/>
  <c r="G18" i="18" s="1"/>
  <c r="BY20" i="9" s="1"/>
  <c r="AE17" i="21"/>
  <c r="G17" i="18" s="1"/>
  <c r="BY19" i="9" s="1"/>
  <c r="AE16" i="21"/>
  <c r="G16" i="18" s="1"/>
  <c r="BY18" i="9" s="1"/>
  <c r="AE15" i="21"/>
  <c r="G15" i="18" s="1"/>
  <c r="BY17" i="9" s="1"/>
  <c r="AE14" i="21"/>
  <c r="G14" i="18" s="1"/>
  <c r="BY16" i="9" s="1"/>
  <c r="AE13" i="21"/>
  <c r="G13" i="18" s="1"/>
  <c r="BY15" i="9" s="1"/>
  <c r="AE12" i="21"/>
  <c r="G12" i="18" s="1"/>
  <c r="BY14" i="9" s="1"/>
  <c r="AE11" i="21"/>
  <c r="G11" i="18" s="1"/>
  <c r="BY13" i="9" s="1"/>
  <c r="AE10" i="21"/>
  <c r="G10" i="18" s="1"/>
  <c r="BY12" i="9" s="1"/>
  <c r="AE9" i="21"/>
  <c r="G9" i="18" s="1"/>
  <c r="BY11" i="9" s="1"/>
  <c r="BY10" i="9" s="1"/>
  <c r="V46" i="21"/>
  <c r="F46" i="18" s="1"/>
  <c r="CL29" i="9" s="1"/>
  <c r="V45" i="21"/>
  <c r="F45" i="18" s="1"/>
  <c r="CL28" i="9" s="1"/>
  <c r="V44" i="21"/>
  <c r="F44" i="18" s="1"/>
  <c r="CL27" i="9" s="1"/>
  <c r="V43" i="21"/>
  <c r="F43" i="18" s="1"/>
  <c r="CL26" i="9" s="1"/>
  <c r="V42" i="21"/>
  <c r="F42" i="18" s="1"/>
  <c r="CL25" i="9" s="1"/>
  <c r="V41" i="21"/>
  <c r="F41" i="18" s="1"/>
  <c r="CL24" i="9" s="1"/>
  <c r="V40" i="21"/>
  <c r="F40" i="18" s="1"/>
  <c r="CL23" i="9" s="1"/>
  <c r="V39" i="21"/>
  <c r="F39" i="18" s="1"/>
  <c r="CL22" i="9" s="1"/>
  <c r="V38" i="21"/>
  <c r="F38" i="18" s="1"/>
  <c r="CL21" i="9" s="1"/>
  <c r="V37" i="21"/>
  <c r="F37" i="18" s="1"/>
  <c r="CL20" i="9" s="1"/>
  <c r="V36" i="21"/>
  <c r="F36" i="18" s="1"/>
  <c r="CL19" i="9" s="1"/>
  <c r="V35" i="21"/>
  <c r="F35" i="18" s="1"/>
  <c r="CL18" i="9" s="1"/>
  <c r="V34" i="21"/>
  <c r="F34" i="18" s="1"/>
  <c r="CL17" i="9" s="1"/>
  <c r="V33" i="21"/>
  <c r="F33" i="18" s="1"/>
  <c r="CL16" i="9" s="1"/>
  <c r="V32" i="21"/>
  <c r="F32" i="18" s="1"/>
  <c r="CL15" i="9" s="1"/>
  <c r="V31" i="21"/>
  <c r="F31" i="18" s="1"/>
  <c r="CL14" i="9" s="1"/>
  <c r="V30" i="21"/>
  <c r="F30" i="18" s="1"/>
  <c r="CL13" i="9" s="1"/>
  <c r="V29" i="21"/>
  <c r="F29" i="18" s="1"/>
  <c r="CL12" i="9" s="1"/>
  <c r="V28" i="21"/>
  <c r="F28" i="18" s="1"/>
  <c r="CL11" i="9" s="1"/>
  <c r="CL10" i="9" s="1"/>
  <c r="V27" i="21"/>
  <c r="F27" i="18" s="1"/>
  <c r="BX29" i="9" s="1"/>
  <c r="V26" i="21"/>
  <c r="F26" i="18" s="1"/>
  <c r="BX28" i="9" s="1"/>
  <c r="V25" i="21"/>
  <c r="F25" i="18" s="1"/>
  <c r="BX27" i="9" s="1"/>
  <c r="V24" i="21"/>
  <c r="F24" i="18" s="1"/>
  <c r="BX26" i="9" s="1"/>
  <c r="V23" i="21"/>
  <c r="F23" i="18" s="1"/>
  <c r="BX25" i="9" s="1"/>
  <c r="V22" i="21"/>
  <c r="F22" i="18" s="1"/>
  <c r="BX24" i="9" s="1"/>
  <c r="V21" i="21"/>
  <c r="F21" i="18" s="1"/>
  <c r="BX23" i="9" s="1"/>
  <c r="V20" i="21"/>
  <c r="F20" i="18" s="1"/>
  <c r="BX22" i="9" s="1"/>
  <c r="V19" i="21"/>
  <c r="F19" i="18" s="1"/>
  <c r="BX21" i="9" s="1"/>
  <c r="V18" i="21"/>
  <c r="F18" i="18" s="1"/>
  <c r="BX20" i="9" s="1"/>
  <c r="V17" i="21"/>
  <c r="F17" i="18" s="1"/>
  <c r="BX19" i="9" s="1"/>
  <c r="V16" i="21"/>
  <c r="F16" i="18" s="1"/>
  <c r="BX18" i="9" s="1"/>
  <c r="V15" i="21"/>
  <c r="F15" i="18" s="1"/>
  <c r="BX17" i="9" s="1"/>
  <c r="V14" i="21"/>
  <c r="F14" i="18" s="1"/>
  <c r="BX16" i="9" s="1"/>
  <c r="V13" i="21"/>
  <c r="F13" i="18" s="1"/>
  <c r="BX15" i="9" s="1"/>
  <c r="V12" i="21"/>
  <c r="F12" i="18" s="1"/>
  <c r="BX14" i="9" s="1"/>
  <c r="V11" i="21"/>
  <c r="F11" i="18" s="1"/>
  <c r="BX13" i="9" s="1"/>
  <c r="V10" i="21"/>
  <c r="F10" i="18" s="1"/>
  <c r="BX12" i="9" s="1"/>
  <c r="V9" i="21"/>
  <c r="F9" i="18" s="1"/>
  <c r="BX11" i="9" s="1"/>
  <c r="BX10" i="9" s="1"/>
  <c r="M10" i="21"/>
  <c r="E10" i="18" s="1"/>
  <c r="BW12" i="9" s="1"/>
  <c r="M11" i="21"/>
  <c r="E11" i="18" s="1"/>
  <c r="BW13" i="9" s="1"/>
  <c r="M12" i="21"/>
  <c r="E12" i="18" s="1"/>
  <c r="BW14" i="9" s="1"/>
  <c r="M13" i="21"/>
  <c r="E13" i="18" s="1"/>
  <c r="BW15" i="9" s="1"/>
  <c r="M14" i="21"/>
  <c r="E14" i="18" s="1"/>
  <c r="BW16" i="9" s="1"/>
  <c r="M15" i="21"/>
  <c r="E15" i="18" s="1"/>
  <c r="BW17" i="9" s="1"/>
  <c r="M16" i="21"/>
  <c r="E16" i="18" s="1"/>
  <c r="BW18" i="9" s="1"/>
  <c r="M17" i="21"/>
  <c r="E17" i="18" s="1"/>
  <c r="BW19" i="9" s="1"/>
  <c r="M18" i="21"/>
  <c r="E18" i="18" s="1"/>
  <c r="BW20" i="9" s="1"/>
  <c r="M19" i="21"/>
  <c r="E19" i="18" s="1"/>
  <c r="BW21" i="9" s="1"/>
  <c r="M20" i="21"/>
  <c r="E20" i="18" s="1"/>
  <c r="BW22" i="9" s="1"/>
  <c r="M21" i="21"/>
  <c r="E21" i="18" s="1"/>
  <c r="BW23" i="9" s="1"/>
  <c r="M22" i="21"/>
  <c r="E22" i="18" s="1"/>
  <c r="BW24" i="9" s="1"/>
  <c r="M23" i="21"/>
  <c r="E23" i="18" s="1"/>
  <c r="BW25" i="9" s="1"/>
  <c r="M24" i="21"/>
  <c r="E24" i="18" s="1"/>
  <c r="BW26" i="9" s="1"/>
  <c r="M25" i="21"/>
  <c r="E25" i="18" s="1"/>
  <c r="BW27" i="9" s="1"/>
  <c r="M26" i="21"/>
  <c r="E26" i="18" s="1"/>
  <c r="BW28" i="9" s="1"/>
  <c r="M27" i="21"/>
  <c r="E27" i="18" s="1"/>
  <c r="BW29" i="9" s="1"/>
  <c r="M9" i="21"/>
  <c r="E9" i="18" s="1"/>
  <c r="BW11" i="9" s="1"/>
  <c r="BW10" i="9" s="1"/>
  <c r="M46" i="21"/>
  <c r="E46" i="18" s="1"/>
  <c r="CK29" i="9" s="1"/>
  <c r="M45" i="21"/>
  <c r="E45" i="18" s="1"/>
  <c r="CK28" i="9" s="1"/>
  <c r="M44" i="21"/>
  <c r="E44" i="18" s="1"/>
  <c r="CK27" i="9" s="1"/>
  <c r="M43" i="21"/>
  <c r="E43" i="18" s="1"/>
  <c r="CK26" i="9" s="1"/>
  <c r="M42" i="21"/>
  <c r="E42" i="18" s="1"/>
  <c r="CK25" i="9" s="1"/>
  <c r="M41" i="21"/>
  <c r="E41" i="18" s="1"/>
  <c r="CK24" i="9" s="1"/>
  <c r="M40" i="21"/>
  <c r="E40" i="18" s="1"/>
  <c r="CK23" i="9" s="1"/>
  <c r="M39" i="21"/>
  <c r="E39" i="18" s="1"/>
  <c r="CK22" i="9" s="1"/>
  <c r="M38" i="21"/>
  <c r="E38" i="18" s="1"/>
  <c r="CK21" i="9" s="1"/>
  <c r="M37" i="21"/>
  <c r="E37" i="18" s="1"/>
  <c r="CK20" i="9" s="1"/>
  <c r="M36" i="21"/>
  <c r="E36" i="18" s="1"/>
  <c r="CK19" i="9" s="1"/>
  <c r="M35" i="21"/>
  <c r="E35" i="18" s="1"/>
  <c r="CK18" i="9" s="1"/>
  <c r="M34" i="21"/>
  <c r="E34" i="18" s="1"/>
  <c r="CK17" i="9" s="1"/>
  <c r="M33" i="21"/>
  <c r="E33" i="18" s="1"/>
  <c r="CK16" i="9" s="1"/>
  <c r="M32" i="21"/>
  <c r="E32" i="18" s="1"/>
  <c r="CK15" i="9" s="1"/>
  <c r="M31" i="21"/>
  <c r="E31" i="18" s="1"/>
  <c r="CK14" i="9" s="1"/>
  <c r="M30" i="21"/>
  <c r="E30" i="18" s="1"/>
  <c r="CK13" i="9" s="1"/>
  <c r="M29" i="21"/>
  <c r="E29" i="18" s="1"/>
  <c r="CK12" i="9" s="1"/>
  <c r="M28" i="21"/>
  <c r="E28" i="18" s="1"/>
  <c r="CK11" i="9" s="1"/>
  <c r="CK10" i="9" s="1"/>
  <c r="DL46" i="21"/>
  <c r="DF46" i="21"/>
  <c r="DI46" i="21" s="1"/>
  <c r="DB46" i="21"/>
  <c r="CW46" i="21"/>
  <c r="CV46" i="21"/>
  <c r="CX46" i="21" s="1"/>
  <c r="CR46" i="21"/>
  <c r="CL46" i="21"/>
  <c r="CZ46" i="21" s="1"/>
  <c r="CH46" i="21"/>
  <c r="CB46" i="21"/>
  <c r="CD46" i="21" s="1"/>
  <c r="BX46" i="21"/>
  <c r="BV46" i="21"/>
  <c r="BR46" i="21"/>
  <c r="BU46" i="21" s="1"/>
  <c r="BN46" i="21"/>
  <c r="BL46" i="21"/>
  <c r="BH46" i="21"/>
  <c r="BJ46" i="21" s="1"/>
  <c r="BD46" i="21"/>
  <c r="AZ46" i="21"/>
  <c r="AY46" i="21"/>
  <c r="BA46" i="21" s="1"/>
  <c r="AU46" i="21"/>
  <c r="AQ46" i="21"/>
  <c r="AP46" i="21"/>
  <c r="AR46" i="21" s="1"/>
  <c r="AL46" i="21"/>
  <c r="AH46" i="21"/>
  <c r="AG46" i="21"/>
  <c r="AI46" i="21" s="1"/>
  <c r="AC46" i="21"/>
  <c r="Y46" i="21"/>
  <c r="X46" i="21"/>
  <c r="Z46" i="21" s="1"/>
  <c r="T46" i="21"/>
  <c r="P46" i="21"/>
  <c r="O46" i="21"/>
  <c r="Q46" i="21" s="1"/>
  <c r="K46" i="21"/>
  <c r="G46" i="21"/>
  <c r="F46" i="21"/>
  <c r="H46" i="21" s="1"/>
  <c r="DL45" i="21"/>
  <c r="DF45" i="21"/>
  <c r="DI45" i="21" s="1"/>
  <c r="DB45" i="21"/>
  <c r="CV45" i="21"/>
  <c r="CX45" i="21" s="1"/>
  <c r="CR45" i="21"/>
  <c r="CL45" i="21"/>
  <c r="CZ45" i="21" s="1"/>
  <c r="CH45" i="21"/>
  <c r="CC45" i="21"/>
  <c r="CB45" i="21"/>
  <c r="CD45" i="21" s="1"/>
  <c r="BX45" i="21"/>
  <c r="BR45" i="21"/>
  <c r="BU45" i="21" s="1"/>
  <c r="BN45" i="21"/>
  <c r="BH45" i="21"/>
  <c r="BJ45" i="21" s="1"/>
  <c r="BD45" i="21"/>
  <c r="AY45" i="21"/>
  <c r="BA45" i="21" s="1"/>
  <c r="AU45" i="21"/>
  <c r="AP45" i="21"/>
  <c r="AR45" i="21" s="1"/>
  <c r="AL45" i="21"/>
  <c r="AG45" i="21"/>
  <c r="AI45" i="21" s="1"/>
  <c r="AC45" i="21"/>
  <c r="X45" i="21"/>
  <c r="Z45" i="21" s="1"/>
  <c r="T45" i="21"/>
  <c r="O45" i="21"/>
  <c r="Q45" i="21" s="1"/>
  <c r="K45" i="21"/>
  <c r="F45" i="21"/>
  <c r="H45" i="21" s="1"/>
  <c r="DL44" i="21"/>
  <c r="DF44" i="21"/>
  <c r="DI44" i="21" s="1"/>
  <c r="DB44" i="21"/>
  <c r="CV44" i="21"/>
  <c r="CX44" i="21" s="1"/>
  <c r="CR44" i="21"/>
  <c r="CL44" i="21"/>
  <c r="CZ44" i="21" s="1"/>
  <c r="CH44" i="21"/>
  <c r="CB44" i="21"/>
  <c r="CD44" i="21" s="1"/>
  <c r="BX44" i="21"/>
  <c r="BV44" i="21"/>
  <c r="BR44" i="21"/>
  <c r="BU44" i="21" s="1"/>
  <c r="BN44" i="21"/>
  <c r="BH44" i="21"/>
  <c r="BJ44" i="21" s="1"/>
  <c r="BD44" i="21"/>
  <c r="AZ44" i="21"/>
  <c r="AY44" i="21"/>
  <c r="BA44" i="21" s="1"/>
  <c r="AU44" i="21"/>
  <c r="AQ44" i="21"/>
  <c r="AP44" i="21"/>
  <c r="AR44" i="21" s="1"/>
  <c r="AL44" i="21"/>
  <c r="AH44" i="21"/>
  <c r="AG44" i="21"/>
  <c r="AI44" i="21" s="1"/>
  <c r="AC44" i="21"/>
  <c r="Y44" i="21"/>
  <c r="X44" i="21"/>
  <c r="Z44" i="21" s="1"/>
  <c r="T44" i="21"/>
  <c r="P44" i="21"/>
  <c r="O44" i="21"/>
  <c r="Q44" i="21" s="1"/>
  <c r="K44" i="21"/>
  <c r="G44" i="21"/>
  <c r="F44" i="21"/>
  <c r="H44" i="21" s="1"/>
  <c r="DL43" i="21"/>
  <c r="DF43" i="21"/>
  <c r="DB43" i="21"/>
  <c r="CW43" i="21"/>
  <c r="CV43" i="21"/>
  <c r="CX43" i="21" s="1"/>
  <c r="CR43" i="21"/>
  <c r="CL43" i="21"/>
  <c r="CH43" i="21"/>
  <c r="CB43" i="21"/>
  <c r="CD43" i="21" s="1"/>
  <c r="BX43" i="21"/>
  <c r="BV43" i="21"/>
  <c r="BR43" i="21"/>
  <c r="BN43" i="21"/>
  <c r="BH43" i="21"/>
  <c r="BJ43" i="21" s="1"/>
  <c r="BD43" i="21"/>
  <c r="AY43" i="21"/>
  <c r="BA43" i="21" s="1"/>
  <c r="AU43" i="21"/>
  <c r="AP43" i="21"/>
  <c r="AR43" i="21" s="1"/>
  <c r="AL43" i="21"/>
  <c r="AG43" i="21"/>
  <c r="AI43" i="21" s="1"/>
  <c r="AC43" i="21"/>
  <c r="X43" i="21"/>
  <c r="Z43" i="21" s="1"/>
  <c r="T43" i="21"/>
  <c r="O43" i="21"/>
  <c r="Q43" i="21" s="1"/>
  <c r="K43" i="21"/>
  <c r="F43" i="21"/>
  <c r="H43" i="21" s="1"/>
  <c r="DL42" i="21"/>
  <c r="DF42" i="21"/>
  <c r="DB42" i="21"/>
  <c r="CV42" i="21"/>
  <c r="CX42" i="21" s="1"/>
  <c r="CR42" i="21"/>
  <c r="CL42" i="21"/>
  <c r="BV42" i="21" s="1"/>
  <c r="CH42" i="21"/>
  <c r="CB42" i="21"/>
  <c r="CD42" i="21" s="1"/>
  <c r="BX42" i="21"/>
  <c r="BR42" i="21"/>
  <c r="BN42" i="21"/>
  <c r="BI42" i="21"/>
  <c r="BH42" i="21"/>
  <c r="BJ42" i="21" s="1"/>
  <c r="BD42" i="21"/>
  <c r="AZ42" i="21"/>
  <c r="AY42" i="21"/>
  <c r="BA42" i="21" s="1"/>
  <c r="AU42" i="21"/>
  <c r="AQ42" i="21"/>
  <c r="AP42" i="21"/>
  <c r="AR42" i="21" s="1"/>
  <c r="AL42" i="21"/>
  <c r="AH42" i="21"/>
  <c r="AG42" i="21"/>
  <c r="AI42" i="21" s="1"/>
  <c r="AC42" i="21"/>
  <c r="Y42" i="21"/>
  <c r="X42" i="21"/>
  <c r="Z42" i="21" s="1"/>
  <c r="T42" i="21"/>
  <c r="P42" i="21"/>
  <c r="O42" i="21"/>
  <c r="Q42" i="21" s="1"/>
  <c r="K42" i="21"/>
  <c r="G42" i="21"/>
  <c r="F42" i="21"/>
  <c r="H42" i="21" s="1"/>
  <c r="DL41" i="21"/>
  <c r="DF41" i="21"/>
  <c r="DB41" i="21"/>
  <c r="CV41" i="21"/>
  <c r="CX41" i="21" s="1"/>
  <c r="CR41" i="21"/>
  <c r="CL41" i="21"/>
  <c r="BV41" i="21" s="1"/>
  <c r="CH41" i="21"/>
  <c r="CC41" i="21"/>
  <c r="CB41" i="21"/>
  <c r="CD41" i="21" s="1"/>
  <c r="BX41" i="21"/>
  <c r="BR41" i="21"/>
  <c r="BN41" i="21"/>
  <c r="BH41" i="21"/>
  <c r="BJ41" i="21" s="1"/>
  <c r="BD41" i="21"/>
  <c r="AY41" i="21"/>
  <c r="BA41" i="21" s="1"/>
  <c r="AU41" i="21"/>
  <c r="AP41" i="21"/>
  <c r="AR41" i="21" s="1"/>
  <c r="AL41" i="21"/>
  <c r="AG41" i="21"/>
  <c r="AI41" i="21" s="1"/>
  <c r="AC41" i="21"/>
  <c r="X41" i="21"/>
  <c r="Z41" i="21" s="1"/>
  <c r="T41" i="21"/>
  <c r="O41" i="21"/>
  <c r="Q41" i="21" s="1"/>
  <c r="K41" i="21"/>
  <c r="F41" i="21"/>
  <c r="H41" i="21" s="1"/>
  <c r="DL40" i="21"/>
  <c r="DF40" i="21"/>
  <c r="DB40" i="21"/>
  <c r="CV40" i="21"/>
  <c r="CX40" i="21" s="1"/>
  <c r="CR40" i="21"/>
  <c r="CL40" i="21"/>
  <c r="BV40" i="21" s="1"/>
  <c r="CH40" i="21"/>
  <c r="CB40" i="21"/>
  <c r="CD40" i="21" s="1"/>
  <c r="BX40" i="21"/>
  <c r="BR40" i="21"/>
  <c r="BN40" i="21"/>
  <c r="BH40" i="21"/>
  <c r="BJ40" i="21" s="1"/>
  <c r="BD40" i="21"/>
  <c r="AZ40" i="21"/>
  <c r="AY40" i="21"/>
  <c r="BA40" i="21" s="1"/>
  <c r="AU40" i="21"/>
  <c r="AQ40" i="21"/>
  <c r="AP40" i="21"/>
  <c r="AR40" i="21" s="1"/>
  <c r="AL40" i="21"/>
  <c r="AH40" i="21"/>
  <c r="AG40" i="21"/>
  <c r="AI40" i="21" s="1"/>
  <c r="AC40" i="21"/>
  <c r="Y40" i="21"/>
  <c r="X40" i="21"/>
  <c r="Z40" i="21" s="1"/>
  <c r="T40" i="21"/>
  <c r="P40" i="21"/>
  <c r="O40" i="21"/>
  <c r="Q40" i="21" s="1"/>
  <c r="K40" i="21"/>
  <c r="G40" i="21"/>
  <c r="F40" i="21"/>
  <c r="H40" i="21" s="1"/>
  <c r="DL39" i="21"/>
  <c r="DF39" i="21"/>
  <c r="DB39" i="21"/>
  <c r="CV39" i="21"/>
  <c r="CY39" i="21" s="1"/>
  <c r="CR39" i="21"/>
  <c r="CL39" i="21"/>
  <c r="CZ39" i="21" s="1"/>
  <c r="CH39" i="21"/>
  <c r="CB39" i="21"/>
  <c r="CE39" i="21" s="1"/>
  <c r="BX39" i="21"/>
  <c r="BR39" i="21"/>
  <c r="BT39" i="21" s="1"/>
  <c r="BN39" i="21"/>
  <c r="BH39" i="21"/>
  <c r="BK39" i="21" s="1"/>
  <c r="BD39" i="21"/>
  <c r="AY39" i="21"/>
  <c r="BB39" i="21" s="1"/>
  <c r="AU39" i="21"/>
  <c r="AP39" i="21"/>
  <c r="AS39" i="21" s="1"/>
  <c r="AL39" i="21"/>
  <c r="AG39" i="21"/>
  <c r="AJ39" i="21" s="1"/>
  <c r="AC39" i="21"/>
  <c r="X39" i="21"/>
  <c r="AA39" i="21" s="1"/>
  <c r="T39" i="21"/>
  <c r="O39" i="21"/>
  <c r="R39" i="21" s="1"/>
  <c r="K39" i="21"/>
  <c r="F39" i="21"/>
  <c r="I39" i="21" s="1"/>
  <c r="DL38" i="21"/>
  <c r="DF38" i="21"/>
  <c r="DH38" i="21" s="1"/>
  <c r="DB38" i="21"/>
  <c r="CV38" i="21"/>
  <c r="CY38" i="21" s="1"/>
  <c r="CR38" i="21"/>
  <c r="CL38" i="21"/>
  <c r="DJ38" i="21" s="1"/>
  <c r="CH38" i="21"/>
  <c r="CF38" i="21"/>
  <c r="CB38" i="21"/>
  <c r="CE38" i="21" s="1"/>
  <c r="BX38" i="21"/>
  <c r="BR38" i="21"/>
  <c r="BT38" i="21" s="1"/>
  <c r="BN38" i="21"/>
  <c r="BL38" i="21"/>
  <c r="BH38" i="21"/>
  <c r="BK38" i="21" s="1"/>
  <c r="BD38" i="21"/>
  <c r="AY38" i="21"/>
  <c r="BB38" i="21" s="1"/>
  <c r="AU38" i="21"/>
  <c r="AP38" i="21"/>
  <c r="AS38" i="21" s="1"/>
  <c r="AL38" i="21"/>
  <c r="AG38" i="21"/>
  <c r="AJ38" i="21" s="1"/>
  <c r="AC38" i="21"/>
  <c r="X38" i="21"/>
  <c r="AA38" i="21" s="1"/>
  <c r="T38" i="21"/>
  <c r="O38" i="21"/>
  <c r="R38" i="21" s="1"/>
  <c r="K38" i="21"/>
  <c r="F38" i="21"/>
  <c r="I38" i="21" s="1"/>
  <c r="DL37" i="21"/>
  <c r="DF37" i="21"/>
  <c r="DH37" i="21" s="1"/>
  <c r="DB37" i="21"/>
  <c r="CV37" i="21"/>
  <c r="CY37" i="21" s="1"/>
  <c r="CR37" i="21"/>
  <c r="CL37" i="21"/>
  <c r="CF37" i="21" s="1"/>
  <c r="CH37" i="21"/>
  <c r="CB37" i="21"/>
  <c r="CE37" i="21" s="1"/>
  <c r="BX37" i="21"/>
  <c r="BR37" i="21"/>
  <c r="BU37" i="21" s="1"/>
  <c r="BN37" i="21"/>
  <c r="BH37" i="21"/>
  <c r="BK37" i="21" s="1"/>
  <c r="BD37" i="21"/>
  <c r="AY37" i="21"/>
  <c r="BB37" i="21" s="1"/>
  <c r="AU37" i="21"/>
  <c r="AP37" i="21"/>
  <c r="AS37" i="21" s="1"/>
  <c r="AL37" i="21"/>
  <c r="AG37" i="21"/>
  <c r="AJ37" i="21" s="1"/>
  <c r="AC37" i="21"/>
  <c r="X37" i="21"/>
  <c r="AA37" i="21" s="1"/>
  <c r="T37" i="21"/>
  <c r="O37" i="21"/>
  <c r="R37" i="21" s="1"/>
  <c r="K37" i="21"/>
  <c r="F37" i="21"/>
  <c r="I37" i="21" s="1"/>
  <c r="DL36" i="21"/>
  <c r="DF36" i="21"/>
  <c r="DH36" i="21" s="1"/>
  <c r="DB36" i="21"/>
  <c r="CV36" i="21"/>
  <c r="CY36" i="21" s="1"/>
  <c r="CR36" i="21"/>
  <c r="CL36" i="21"/>
  <c r="DJ36" i="21" s="1"/>
  <c r="CH36" i="21"/>
  <c r="CF36" i="21"/>
  <c r="CB36" i="21"/>
  <c r="CE36" i="21" s="1"/>
  <c r="BX36" i="21"/>
  <c r="BV36" i="21"/>
  <c r="BR36" i="21"/>
  <c r="BT36" i="21" s="1"/>
  <c r="BN36" i="21"/>
  <c r="BL36" i="21"/>
  <c r="BH36" i="21"/>
  <c r="BK36" i="21" s="1"/>
  <c r="BD36" i="21"/>
  <c r="BB36" i="21"/>
  <c r="AY36" i="21"/>
  <c r="AU36" i="21"/>
  <c r="AP36" i="21"/>
  <c r="AS36" i="21" s="1"/>
  <c r="AL36" i="21"/>
  <c r="AJ36" i="21"/>
  <c r="AG36" i="21"/>
  <c r="AC36" i="21"/>
  <c r="X36" i="21"/>
  <c r="AA36" i="21" s="1"/>
  <c r="T36" i="21"/>
  <c r="R36" i="21"/>
  <c r="O36" i="21"/>
  <c r="K36" i="21"/>
  <c r="F36" i="21"/>
  <c r="I36" i="21" s="1"/>
  <c r="DL35" i="21"/>
  <c r="DF35" i="21"/>
  <c r="DH35" i="21" s="1"/>
  <c r="DB35" i="21"/>
  <c r="CV35" i="21"/>
  <c r="CY35" i="21" s="1"/>
  <c r="CR35" i="21"/>
  <c r="CL35" i="21"/>
  <c r="DJ35" i="21" s="1"/>
  <c r="CH35" i="21"/>
  <c r="CB35" i="21"/>
  <c r="CE35" i="21" s="1"/>
  <c r="BX35" i="21"/>
  <c r="BR35" i="21"/>
  <c r="BT35" i="21" s="1"/>
  <c r="BN35" i="21"/>
  <c r="BH35" i="21"/>
  <c r="BJ35" i="21" s="1"/>
  <c r="BD35" i="21"/>
  <c r="AZ35" i="21"/>
  <c r="AY35" i="21"/>
  <c r="BA35" i="21" s="1"/>
  <c r="AU35" i="21"/>
  <c r="AQ35" i="21"/>
  <c r="AP35" i="21"/>
  <c r="AR35" i="21" s="1"/>
  <c r="AL35" i="21"/>
  <c r="AH35" i="21"/>
  <c r="AG35" i="21"/>
  <c r="AI35" i="21" s="1"/>
  <c r="AC35" i="21"/>
  <c r="Y35" i="21"/>
  <c r="X35" i="21"/>
  <c r="Z35" i="21" s="1"/>
  <c r="T35" i="21"/>
  <c r="P35" i="21"/>
  <c r="O35" i="21"/>
  <c r="Q35" i="21" s="1"/>
  <c r="K35" i="21"/>
  <c r="G35" i="21"/>
  <c r="F35" i="21"/>
  <c r="H35" i="21" s="1"/>
  <c r="DL34" i="21"/>
  <c r="DF34" i="21"/>
  <c r="DB34" i="21"/>
  <c r="CV34" i="21"/>
  <c r="CX34" i="21" s="1"/>
  <c r="CR34" i="21"/>
  <c r="CL34" i="21"/>
  <c r="CH34" i="21"/>
  <c r="CB34" i="21"/>
  <c r="CD34" i="21" s="1"/>
  <c r="BX34" i="21"/>
  <c r="BV34" i="21"/>
  <c r="BR34" i="21"/>
  <c r="BN34" i="21"/>
  <c r="BH34" i="21"/>
  <c r="BK34" i="21" s="1"/>
  <c r="BD34" i="21"/>
  <c r="BB34" i="21"/>
  <c r="AY34" i="21"/>
  <c r="AU34" i="21"/>
  <c r="AP34" i="21"/>
  <c r="AS34" i="21" s="1"/>
  <c r="AL34" i="21"/>
  <c r="AJ34" i="21"/>
  <c r="AG34" i="21"/>
  <c r="AC34" i="21"/>
  <c r="X34" i="21"/>
  <c r="AA34" i="21" s="1"/>
  <c r="T34" i="21"/>
  <c r="R34" i="21"/>
  <c r="O34" i="21"/>
  <c r="K34" i="21"/>
  <c r="F34" i="21"/>
  <c r="I34" i="21" s="1"/>
  <c r="DL33" i="21"/>
  <c r="DF33" i="21"/>
  <c r="DB33" i="21"/>
  <c r="CY33" i="21"/>
  <c r="CV33" i="21"/>
  <c r="CR33" i="21"/>
  <c r="CL33" i="21"/>
  <c r="CZ33" i="21" s="1"/>
  <c r="CH33" i="21"/>
  <c r="CB33" i="21"/>
  <c r="CE33" i="21" s="1"/>
  <c r="BX33" i="21"/>
  <c r="BR33" i="21"/>
  <c r="BU33" i="21" s="1"/>
  <c r="BN33" i="21"/>
  <c r="BH33" i="21"/>
  <c r="BJ33" i="21" s="1"/>
  <c r="BD33" i="21"/>
  <c r="AZ33" i="21"/>
  <c r="AY33" i="21"/>
  <c r="AU33" i="21"/>
  <c r="AQ33" i="21"/>
  <c r="AP33" i="21"/>
  <c r="AR33" i="21" s="1"/>
  <c r="AL33" i="21"/>
  <c r="AH33" i="21"/>
  <c r="AG33" i="21"/>
  <c r="AI33" i="21" s="1"/>
  <c r="AC33" i="21"/>
  <c r="Y33" i="21"/>
  <c r="X33" i="21"/>
  <c r="Z33" i="21" s="1"/>
  <c r="T33" i="21"/>
  <c r="P33" i="21"/>
  <c r="O33" i="21"/>
  <c r="Q33" i="21" s="1"/>
  <c r="K33" i="21"/>
  <c r="G33" i="21"/>
  <c r="F33" i="21"/>
  <c r="H33" i="21" s="1"/>
  <c r="DL32" i="21"/>
  <c r="DF32" i="21"/>
  <c r="DI32" i="21" s="1"/>
  <c r="DB32" i="21"/>
  <c r="CV32" i="21"/>
  <c r="CX32" i="21" s="1"/>
  <c r="CR32" i="21"/>
  <c r="CL32" i="21"/>
  <c r="CZ32" i="21" s="1"/>
  <c r="CH32" i="21"/>
  <c r="CC32" i="21"/>
  <c r="CB32" i="21"/>
  <c r="CD32" i="21" s="1"/>
  <c r="BX32" i="21"/>
  <c r="BR32" i="21"/>
  <c r="BU32" i="21" s="1"/>
  <c r="BN32" i="21"/>
  <c r="BH32" i="21"/>
  <c r="BJ32" i="21" s="1"/>
  <c r="BD32" i="21"/>
  <c r="AY32" i="21"/>
  <c r="BA32" i="21" s="1"/>
  <c r="AU32" i="21"/>
  <c r="AP32" i="21"/>
  <c r="AR32" i="21" s="1"/>
  <c r="AL32" i="21"/>
  <c r="AG32" i="21"/>
  <c r="AI32" i="21" s="1"/>
  <c r="AC32" i="21"/>
  <c r="X32" i="21"/>
  <c r="Z32" i="21" s="1"/>
  <c r="T32" i="21"/>
  <c r="O32" i="21"/>
  <c r="Q32" i="21" s="1"/>
  <c r="K32" i="21"/>
  <c r="F32" i="21"/>
  <c r="H32" i="21" s="1"/>
  <c r="DL31" i="21"/>
  <c r="DF31" i="21"/>
  <c r="DI31" i="21" s="1"/>
  <c r="DB31" i="21"/>
  <c r="CV31" i="21"/>
  <c r="CX31" i="21" s="1"/>
  <c r="CR31" i="21"/>
  <c r="CL31" i="21"/>
  <c r="CZ31" i="21" s="1"/>
  <c r="CH31" i="21"/>
  <c r="CB31" i="21"/>
  <c r="CD31" i="21" s="1"/>
  <c r="BX31" i="21"/>
  <c r="BV31" i="21"/>
  <c r="BR31" i="21"/>
  <c r="BU31" i="21" s="1"/>
  <c r="BN31" i="21"/>
  <c r="BH31" i="21"/>
  <c r="BJ31" i="21" s="1"/>
  <c r="BD31" i="21"/>
  <c r="AZ31" i="21"/>
  <c r="AY31" i="21"/>
  <c r="BA31" i="21" s="1"/>
  <c r="AU31" i="21"/>
  <c r="AQ31" i="21"/>
  <c r="AP31" i="21"/>
  <c r="AR31" i="21" s="1"/>
  <c r="AL31" i="21"/>
  <c r="AH31" i="21"/>
  <c r="AG31" i="21"/>
  <c r="AI31" i="21" s="1"/>
  <c r="AC31" i="21"/>
  <c r="Y31" i="21"/>
  <c r="X31" i="21"/>
  <c r="Z31" i="21" s="1"/>
  <c r="T31" i="21"/>
  <c r="P31" i="21"/>
  <c r="O31" i="21"/>
  <c r="Q31" i="21" s="1"/>
  <c r="K31" i="21"/>
  <c r="G31" i="21"/>
  <c r="F31" i="21"/>
  <c r="H31" i="21" s="1"/>
  <c r="DL30" i="21"/>
  <c r="DF30" i="21"/>
  <c r="DI30" i="21" s="1"/>
  <c r="DB30" i="21"/>
  <c r="CW30" i="21"/>
  <c r="CV30" i="21"/>
  <c r="CX30" i="21" s="1"/>
  <c r="CR30" i="21"/>
  <c r="CL30" i="21"/>
  <c r="CZ30" i="21" s="1"/>
  <c r="CH30" i="21"/>
  <c r="CB30" i="21"/>
  <c r="CD30" i="21" s="1"/>
  <c r="BX30" i="21"/>
  <c r="BV30" i="21"/>
  <c r="BR30" i="21"/>
  <c r="BU30" i="21" s="1"/>
  <c r="BN30" i="21"/>
  <c r="BH30" i="21"/>
  <c r="BJ30" i="21" s="1"/>
  <c r="BD30" i="21"/>
  <c r="AY30" i="21"/>
  <c r="BA30" i="21" s="1"/>
  <c r="AU30" i="21"/>
  <c r="AP30" i="21"/>
  <c r="AR30" i="21" s="1"/>
  <c r="AL30" i="21"/>
  <c r="AG30" i="21"/>
  <c r="AI30" i="21" s="1"/>
  <c r="AC30" i="21"/>
  <c r="X30" i="21"/>
  <c r="Z30" i="21" s="1"/>
  <c r="T30" i="21"/>
  <c r="O30" i="21"/>
  <c r="Q30" i="21" s="1"/>
  <c r="K30" i="21"/>
  <c r="F30" i="21"/>
  <c r="H30" i="21" s="1"/>
  <c r="DL29" i="21"/>
  <c r="DF29" i="21"/>
  <c r="DI29" i="21" s="1"/>
  <c r="DB29" i="21"/>
  <c r="CV29" i="21"/>
  <c r="CX29" i="21" s="1"/>
  <c r="CR29" i="21"/>
  <c r="CL29" i="21"/>
  <c r="CZ29" i="21" s="1"/>
  <c r="CH29" i="21"/>
  <c r="CB29" i="21"/>
  <c r="CD29" i="21" s="1"/>
  <c r="BX29" i="21"/>
  <c r="BR29" i="21"/>
  <c r="BU29" i="21" s="1"/>
  <c r="BN29" i="21"/>
  <c r="BI29" i="21"/>
  <c r="BH29" i="21"/>
  <c r="BJ29" i="21" s="1"/>
  <c r="BD29" i="21"/>
  <c r="AZ29" i="21"/>
  <c r="AY29" i="21"/>
  <c r="BA29" i="21" s="1"/>
  <c r="AU29" i="21"/>
  <c r="AQ29" i="21"/>
  <c r="AP29" i="21"/>
  <c r="AR29" i="21" s="1"/>
  <c r="AL29" i="21"/>
  <c r="AH29" i="21"/>
  <c r="AG29" i="21"/>
  <c r="AI29" i="21" s="1"/>
  <c r="AC29" i="21"/>
  <c r="Y29" i="21"/>
  <c r="X29" i="21"/>
  <c r="Z29" i="21" s="1"/>
  <c r="T29" i="21"/>
  <c r="P29" i="21"/>
  <c r="O29" i="21"/>
  <c r="Q29" i="21" s="1"/>
  <c r="K29" i="21"/>
  <c r="G29" i="21"/>
  <c r="J29" i="21" s="1"/>
  <c r="F29" i="21"/>
  <c r="H29" i="21" s="1"/>
  <c r="DL28" i="21"/>
  <c r="DF28" i="21"/>
  <c r="DI28" i="21" s="1"/>
  <c r="DB28" i="21"/>
  <c r="CV28" i="21"/>
  <c r="CX28" i="21" s="1"/>
  <c r="CR28" i="21"/>
  <c r="CL28" i="21"/>
  <c r="BV28" i="21" s="1"/>
  <c r="CH28" i="21"/>
  <c r="CC28" i="21"/>
  <c r="CB28" i="21"/>
  <c r="CD28" i="21" s="1"/>
  <c r="BX28" i="21"/>
  <c r="BR28" i="21"/>
  <c r="BN28" i="21"/>
  <c r="BH28" i="21"/>
  <c r="BJ28" i="21" s="1"/>
  <c r="BD28" i="21"/>
  <c r="AY28" i="21"/>
  <c r="BA28" i="21" s="1"/>
  <c r="AU28" i="21"/>
  <c r="AP28" i="21"/>
  <c r="AR28" i="21" s="1"/>
  <c r="AL28" i="21"/>
  <c r="AG28" i="21"/>
  <c r="AI28" i="21" s="1"/>
  <c r="AC28" i="21"/>
  <c r="X28" i="21"/>
  <c r="Z28" i="21" s="1"/>
  <c r="T28" i="21"/>
  <c r="O28" i="21"/>
  <c r="Q28" i="21" s="1"/>
  <c r="K28" i="21"/>
  <c r="F28" i="21"/>
  <c r="H28" i="21" s="1"/>
  <c r="DL27" i="21"/>
  <c r="DF27" i="21"/>
  <c r="DB27" i="21"/>
  <c r="CV27" i="21"/>
  <c r="CX27" i="21" s="1"/>
  <c r="CR27" i="21"/>
  <c r="CL27" i="21"/>
  <c r="BV27" i="21" s="1"/>
  <c r="CH27" i="21"/>
  <c r="CB27" i="21"/>
  <c r="CD27" i="21" s="1"/>
  <c r="BX27" i="21"/>
  <c r="BR27" i="21"/>
  <c r="BN27" i="21"/>
  <c r="BH27" i="21"/>
  <c r="BJ27" i="21" s="1"/>
  <c r="BD27" i="21"/>
  <c r="AZ27" i="21"/>
  <c r="AY27" i="21"/>
  <c r="BA27" i="21" s="1"/>
  <c r="AU27" i="21"/>
  <c r="AQ27" i="21"/>
  <c r="AP27" i="21"/>
  <c r="AR27" i="21" s="1"/>
  <c r="AL27" i="21"/>
  <c r="AH27" i="21"/>
  <c r="AG27" i="21"/>
  <c r="AI27" i="21" s="1"/>
  <c r="AC27" i="21"/>
  <c r="Y27" i="21"/>
  <c r="X27" i="21"/>
  <c r="Z27" i="21" s="1"/>
  <c r="T27" i="21"/>
  <c r="P27" i="21"/>
  <c r="O27" i="21"/>
  <c r="Q27" i="21" s="1"/>
  <c r="K27" i="21"/>
  <c r="G27" i="21"/>
  <c r="F27" i="21"/>
  <c r="H27" i="21" s="1"/>
  <c r="DL26" i="21"/>
  <c r="DF26" i="21"/>
  <c r="DB26" i="21"/>
  <c r="CV26" i="21"/>
  <c r="CX26" i="21" s="1"/>
  <c r="CR26" i="21"/>
  <c r="CL26" i="21"/>
  <c r="CH26" i="21"/>
  <c r="CB26" i="21"/>
  <c r="CD26" i="21" s="1"/>
  <c r="BX26" i="21"/>
  <c r="BV26" i="21"/>
  <c r="BR26" i="21"/>
  <c r="BN26" i="21"/>
  <c r="BH26" i="21"/>
  <c r="BJ26" i="21" s="1"/>
  <c r="BD26" i="21"/>
  <c r="AY26" i="21"/>
  <c r="BA26" i="21" s="1"/>
  <c r="AU26" i="21"/>
  <c r="AP26" i="21"/>
  <c r="AR26" i="21" s="1"/>
  <c r="AL26" i="21"/>
  <c r="AG26" i="21"/>
  <c r="AI26" i="21" s="1"/>
  <c r="AC26" i="21"/>
  <c r="X26" i="21"/>
  <c r="Z26" i="21" s="1"/>
  <c r="T26" i="21"/>
  <c r="O26" i="21"/>
  <c r="Q26" i="21" s="1"/>
  <c r="K26" i="21"/>
  <c r="F26" i="21"/>
  <c r="H26" i="21" s="1"/>
  <c r="DL25" i="21"/>
  <c r="DF25" i="21"/>
  <c r="DB25" i="21"/>
  <c r="CV25" i="21"/>
  <c r="CX25" i="21" s="1"/>
  <c r="CR25" i="21"/>
  <c r="CL25" i="21"/>
  <c r="CH25" i="21"/>
  <c r="CB25" i="21"/>
  <c r="CD25" i="21" s="1"/>
  <c r="BX25" i="21"/>
  <c r="BV25" i="21"/>
  <c r="BR25" i="21"/>
  <c r="BN25" i="21"/>
  <c r="BI25" i="21"/>
  <c r="BH25" i="21"/>
  <c r="BJ25" i="21" s="1"/>
  <c r="BD25" i="21"/>
  <c r="AZ25" i="21"/>
  <c r="AY25" i="21"/>
  <c r="BA25" i="21" s="1"/>
  <c r="AU25" i="21"/>
  <c r="AQ25" i="21"/>
  <c r="AP25" i="21"/>
  <c r="AR25" i="21" s="1"/>
  <c r="AL25" i="21"/>
  <c r="AH25" i="21"/>
  <c r="AG25" i="21"/>
  <c r="AI25" i="21" s="1"/>
  <c r="AC25" i="21"/>
  <c r="Y25" i="21"/>
  <c r="X25" i="21"/>
  <c r="Z25" i="21" s="1"/>
  <c r="T25" i="21"/>
  <c r="P25" i="21"/>
  <c r="O25" i="21"/>
  <c r="Q25" i="21" s="1"/>
  <c r="K25" i="21"/>
  <c r="G25" i="21"/>
  <c r="F25" i="21"/>
  <c r="H25" i="21" s="1"/>
  <c r="DL24" i="21"/>
  <c r="DF24" i="21"/>
  <c r="DB24" i="21"/>
  <c r="CV24" i="21"/>
  <c r="CX24" i="21" s="1"/>
  <c r="CR24" i="21"/>
  <c r="CL24" i="21"/>
  <c r="BV24" i="21" s="1"/>
  <c r="CH24" i="21"/>
  <c r="CB24" i="21"/>
  <c r="CD24" i="21" s="1"/>
  <c r="BX24" i="21"/>
  <c r="BR24" i="21"/>
  <c r="BN24" i="21"/>
  <c r="BH24" i="21"/>
  <c r="BJ24" i="21" s="1"/>
  <c r="BD24" i="21"/>
  <c r="AY24" i="21"/>
  <c r="BA24" i="21" s="1"/>
  <c r="AU24" i="21"/>
  <c r="AP24" i="21"/>
  <c r="AR24" i="21" s="1"/>
  <c r="AL24" i="21"/>
  <c r="AG24" i="21"/>
  <c r="AI24" i="21" s="1"/>
  <c r="AC24" i="21"/>
  <c r="X24" i="21"/>
  <c r="Z24" i="21" s="1"/>
  <c r="T24" i="21"/>
  <c r="O24" i="21"/>
  <c r="Q24" i="21" s="1"/>
  <c r="K24" i="21"/>
  <c r="F24" i="21"/>
  <c r="H24" i="21" s="1"/>
  <c r="DL23" i="21"/>
  <c r="DF23" i="21"/>
  <c r="DB23" i="21"/>
  <c r="CV23" i="21"/>
  <c r="CX23" i="21" s="1"/>
  <c r="CR23" i="21"/>
  <c r="CL23" i="21"/>
  <c r="BV23" i="21" s="1"/>
  <c r="CH23" i="21"/>
  <c r="CB23" i="21"/>
  <c r="CD23" i="21" s="1"/>
  <c r="BX23" i="21"/>
  <c r="BR23" i="21"/>
  <c r="BN23" i="21"/>
  <c r="BH23" i="21"/>
  <c r="BJ23" i="21" s="1"/>
  <c r="BD23" i="21"/>
  <c r="AZ23" i="21"/>
  <c r="AY23" i="21"/>
  <c r="BA23" i="21" s="1"/>
  <c r="AU23" i="21"/>
  <c r="AQ23" i="21"/>
  <c r="AP23" i="21"/>
  <c r="AR23" i="21" s="1"/>
  <c r="AL23" i="21"/>
  <c r="AH23" i="21"/>
  <c r="AG23" i="21"/>
  <c r="AI23" i="21" s="1"/>
  <c r="AC23" i="21"/>
  <c r="Y23" i="21"/>
  <c r="X23" i="21"/>
  <c r="Z23" i="21" s="1"/>
  <c r="T23" i="21"/>
  <c r="P23" i="21"/>
  <c r="O23" i="21"/>
  <c r="Q23" i="21" s="1"/>
  <c r="K23" i="21"/>
  <c r="G23" i="21"/>
  <c r="F23" i="21"/>
  <c r="H23" i="21" s="1"/>
  <c r="DL22" i="21"/>
  <c r="DF22" i="21"/>
  <c r="DB22" i="21"/>
  <c r="CW22" i="21"/>
  <c r="CV22" i="21"/>
  <c r="CX22" i="21" s="1"/>
  <c r="CR22" i="21"/>
  <c r="CL22" i="21"/>
  <c r="BV22" i="21" s="1"/>
  <c r="CH22" i="21"/>
  <c r="CB22" i="21"/>
  <c r="CD22" i="21" s="1"/>
  <c r="BX22" i="21"/>
  <c r="BR22" i="21"/>
  <c r="BN22" i="21"/>
  <c r="BH22" i="21"/>
  <c r="BJ22" i="21" s="1"/>
  <c r="BD22" i="21"/>
  <c r="AY22" i="21"/>
  <c r="BA22" i="21" s="1"/>
  <c r="AU22" i="21"/>
  <c r="AP22" i="21"/>
  <c r="AR22" i="21" s="1"/>
  <c r="AL22" i="21"/>
  <c r="AG22" i="21"/>
  <c r="AI22" i="21" s="1"/>
  <c r="AC22" i="21"/>
  <c r="X22" i="21"/>
  <c r="Z22" i="21" s="1"/>
  <c r="T22" i="21"/>
  <c r="O22" i="21"/>
  <c r="Q22" i="21" s="1"/>
  <c r="K22" i="21"/>
  <c r="F22" i="21"/>
  <c r="H22" i="21" s="1"/>
  <c r="DL21" i="21"/>
  <c r="DF21" i="21"/>
  <c r="DB21" i="21"/>
  <c r="CV21" i="21"/>
  <c r="CX21" i="21" s="1"/>
  <c r="CR21" i="21"/>
  <c r="CL21" i="21"/>
  <c r="CH21" i="21"/>
  <c r="CB21" i="21"/>
  <c r="CD21" i="21" s="1"/>
  <c r="BX21" i="21"/>
  <c r="BV21" i="21"/>
  <c r="BR21" i="21"/>
  <c r="BN21" i="21"/>
  <c r="BI21" i="21"/>
  <c r="BH21" i="21"/>
  <c r="BJ21" i="21" s="1"/>
  <c r="BD21" i="21"/>
  <c r="AZ21" i="21"/>
  <c r="AY21" i="21"/>
  <c r="BA21" i="21" s="1"/>
  <c r="AU21" i="21"/>
  <c r="AQ21" i="21"/>
  <c r="AP21" i="21"/>
  <c r="AR21" i="21" s="1"/>
  <c r="AL21" i="21"/>
  <c r="AH21" i="21"/>
  <c r="AG21" i="21"/>
  <c r="AI21" i="21" s="1"/>
  <c r="AC21" i="21"/>
  <c r="Y21" i="21"/>
  <c r="X21" i="21"/>
  <c r="Z21" i="21" s="1"/>
  <c r="T21" i="21"/>
  <c r="P21" i="21"/>
  <c r="O21" i="21"/>
  <c r="Q21" i="21" s="1"/>
  <c r="K21" i="21"/>
  <c r="G21" i="21"/>
  <c r="F21" i="21"/>
  <c r="H21" i="21" s="1"/>
  <c r="DL20" i="21"/>
  <c r="DF20" i="21"/>
  <c r="DB20" i="21"/>
  <c r="CV20" i="21"/>
  <c r="CR20" i="21"/>
  <c r="CL20" i="21"/>
  <c r="CO20" i="21" s="1"/>
  <c r="CH20" i="21"/>
  <c r="CF20" i="21"/>
  <c r="CB20" i="21"/>
  <c r="CE20" i="21" s="1"/>
  <c r="BX20" i="21"/>
  <c r="BR20" i="21"/>
  <c r="BU20" i="21" s="1"/>
  <c r="BN20" i="21"/>
  <c r="BL20" i="21"/>
  <c r="BH20" i="21"/>
  <c r="BK20" i="21" s="1"/>
  <c r="BD20" i="21"/>
  <c r="AY20" i="21"/>
  <c r="BB20" i="21" s="1"/>
  <c r="AU20" i="21"/>
  <c r="AP20" i="21"/>
  <c r="AS20" i="21" s="1"/>
  <c r="AL20" i="21"/>
  <c r="AG20" i="21"/>
  <c r="AJ20" i="21" s="1"/>
  <c r="AC20" i="21"/>
  <c r="X20" i="21"/>
  <c r="AA20" i="21" s="1"/>
  <c r="T20" i="21"/>
  <c r="O20" i="21"/>
  <c r="R20" i="21" s="1"/>
  <c r="K20" i="21"/>
  <c r="F20" i="21"/>
  <c r="I20" i="21" s="1"/>
  <c r="DL19" i="21"/>
  <c r="DF19" i="21"/>
  <c r="DH19" i="21" s="1"/>
  <c r="DB19" i="21"/>
  <c r="CV19" i="21"/>
  <c r="CY19" i="21" s="1"/>
  <c r="CR19" i="21"/>
  <c r="CL19" i="21"/>
  <c r="CF19" i="21" s="1"/>
  <c r="CH19" i="21"/>
  <c r="CB19" i="21"/>
  <c r="CE19" i="21" s="1"/>
  <c r="BX19" i="21"/>
  <c r="BU19" i="21"/>
  <c r="BR19" i="21"/>
  <c r="BN19" i="21"/>
  <c r="BH19" i="21"/>
  <c r="BK19" i="21" s="1"/>
  <c r="BD19" i="21"/>
  <c r="AY19" i="21"/>
  <c r="BB19" i="21" s="1"/>
  <c r="AU19" i="21"/>
  <c r="AP19" i="21"/>
  <c r="AS19" i="21" s="1"/>
  <c r="AL19" i="21"/>
  <c r="AG19" i="21"/>
  <c r="AJ19" i="21" s="1"/>
  <c r="AC19" i="21"/>
  <c r="X19" i="21"/>
  <c r="AA19" i="21" s="1"/>
  <c r="T19" i="21"/>
  <c r="O19" i="21"/>
  <c r="R19" i="21" s="1"/>
  <c r="K19" i="21"/>
  <c r="F19" i="21"/>
  <c r="I19" i="21" s="1"/>
  <c r="DL18" i="21"/>
  <c r="DF18" i="21"/>
  <c r="DH18" i="21" s="1"/>
  <c r="DB18" i="21"/>
  <c r="CV18" i="21"/>
  <c r="CY18" i="21" s="1"/>
  <c r="CR18" i="21"/>
  <c r="CL18" i="21"/>
  <c r="CO18" i="21" s="1"/>
  <c r="CH18" i="21"/>
  <c r="CF18" i="21"/>
  <c r="CB18" i="21"/>
  <c r="CE18" i="21" s="1"/>
  <c r="BX18" i="21"/>
  <c r="BR18" i="21"/>
  <c r="BU18" i="21" s="1"/>
  <c r="BN18" i="21"/>
  <c r="BH18" i="21"/>
  <c r="BK18" i="21" s="1"/>
  <c r="BD18" i="21"/>
  <c r="AY18" i="21"/>
  <c r="BB18" i="21" s="1"/>
  <c r="AU18" i="21"/>
  <c r="AP18" i="21"/>
  <c r="AS18" i="21" s="1"/>
  <c r="AL18" i="21"/>
  <c r="AG18" i="21"/>
  <c r="AJ18" i="21" s="1"/>
  <c r="AC18" i="21"/>
  <c r="X18" i="21"/>
  <c r="AA18" i="21" s="1"/>
  <c r="T18" i="21"/>
  <c r="O18" i="21"/>
  <c r="R18" i="21" s="1"/>
  <c r="K18" i="21"/>
  <c r="F18" i="21"/>
  <c r="I18" i="21" s="1"/>
  <c r="DL17" i="21"/>
  <c r="DF17" i="21"/>
  <c r="DH17" i="21" s="1"/>
  <c r="DB17" i="21"/>
  <c r="CV17" i="21"/>
  <c r="CY17" i="21" s="1"/>
  <c r="CR17" i="21"/>
  <c r="CO17" i="21"/>
  <c r="CL17" i="21"/>
  <c r="CH17" i="21"/>
  <c r="CF17" i="21"/>
  <c r="CB17" i="21"/>
  <c r="CE17" i="21" s="1"/>
  <c r="BX17" i="21"/>
  <c r="BR17" i="21"/>
  <c r="BU17" i="21" s="1"/>
  <c r="BN17" i="21"/>
  <c r="BL17" i="21"/>
  <c r="BH17" i="21"/>
  <c r="BK17" i="21" s="1"/>
  <c r="BD17" i="21"/>
  <c r="AY17" i="21"/>
  <c r="BB17" i="21" s="1"/>
  <c r="AU17" i="21"/>
  <c r="AP17" i="21"/>
  <c r="AS17" i="21" s="1"/>
  <c r="AL17" i="21"/>
  <c r="AG17" i="21"/>
  <c r="AJ17" i="21" s="1"/>
  <c r="AC17" i="21"/>
  <c r="X17" i="21"/>
  <c r="AA17" i="21" s="1"/>
  <c r="T17" i="21"/>
  <c r="O17" i="21"/>
  <c r="R17" i="21" s="1"/>
  <c r="K17" i="21"/>
  <c r="F17" i="21"/>
  <c r="I17" i="21" s="1"/>
  <c r="DL16" i="21"/>
  <c r="DF16" i="21"/>
  <c r="DB16" i="21"/>
  <c r="CV16" i="21"/>
  <c r="CY16" i="21" s="1"/>
  <c r="CR16" i="21"/>
  <c r="CL16" i="21"/>
  <c r="BL16" i="21" s="1"/>
  <c r="CH16" i="21"/>
  <c r="CF16" i="21"/>
  <c r="CB16" i="21"/>
  <c r="CE16" i="21" s="1"/>
  <c r="BX16" i="21"/>
  <c r="BR16" i="21"/>
  <c r="BN16" i="21"/>
  <c r="BH16" i="21"/>
  <c r="BK16" i="21" s="1"/>
  <c r="BD16" i="21"/>
  <c r="AY16" i="21"/>
  <c r="BB16" i="21" s="1"/>
  <c r="AU16" i="21"/>
  <c r="AP16" i="21"/>
  <c r="AS16" i="21" s="1"/>
  <c r="AL16" i="21"/>
  <c r="AG16" i="21"/>
  <c r="AJ16" i="21" s="1"/>
  <c r="AC16" i="21"/>
  <c r="X16" i="21"/>
  <c r="T16" i="21"/>
  <c r="O16" i="21"/>
  <c r="K16" i="21"/>
  <c r="I16" i="21"/>
  <c r="F16" i="21"/>
  <c r="DL15" i="21"/>
  <c r="DF15" i="21"/>
  <c r="DH15" i="21" s="1"/>
  <c r="DB15" i="21"/>
  <c r="CV15" i="21"/>
  <c r="CR15" i="21"/>
  <c r="CL15" i="21"/>
  <c r="DJ15" i="21" s="1"/>
  <c r="CH15" i="21"/>
  <c r="CB15" i="21"/>
  <c r="CE15" i="21" s="1"/>
  <c r="BX15" i="21"/>
  <c r="BR15" i="21"/>
  <c r="BT15" i="21" s="1"/>
  <c r="BN15" i="21"/>
  <c r="BH15" i="21"/>
  <c r="BJ15" i="21" s="1"/>
  <c r="BD15" i="21"/>
  <c r="AZ15" i="21"/>
  <c r="AY15" i="21"/>
  <c r="BA15" i="21" s="1"/>
  <c r="AU15" i="21"/>
  <c r="AQ15" i="21"/>
  <c r="AP15" i="21"/>
  <c r="AR15" i="21" s="1"/>
  <c r="AL15" i="21"/>
  <c r="AH15" i="21"/>
  <c r="AG15" i="21"/>
  <c r="AI15" i="21" s="1"/>
  <c r="AC15" i="21"/>
  <c r="Y15" i="21"/>
  <c r="X15" i="21"/>
  <c r="Z15" i="21" s="1"/>
  <c r="T15" i="21"/>
  <c r="P15" i="21"/>
  <c r="O15" i="21"/>
  <c r="Q15" i="21" s="1"/>
  <c r="K15" i="21"/>
  <c r="G15" i="21"/>
  <c r="F15" i="21"/>
  <c r="H15" i="21" s="1"/>
  <c r="DL14" i="21"/>
  <c r="DF14" i="21"/>
  <c r="DH14" i="21" s="1"/>
  <c r="DB14" i="21"/>
  <c r="CV14" i="21"/>
  <c r="CX14" i="21" s="1"/>
  <c r="CR14" i="21"/>
  <c r="CL14" i="21"/>
  <c r="DJ14" i="21" s="1"/>
  <c r="CH14" i="21"/>
  <c r="CC14" i="21"/>
  <c r="CB14" i="21"/>
  <c r="CD14" i="21" s="1"/>
  <c r="BX14" i="21"/>
  <c r="BR14" i="21"/>
  <c r="BT14" i="21" s="1"/>
  <c r="BN14" i="21"/>
  <c r="BK14" i="21"/>
  <c r="BH14" i="21"/>
  <c r="BD14" i="21"/>
  <c r="AY14" i="21"/>
  <c r="AU14" i="21"/>
  <c r="AS14" i="21"/>
  <c r="AP14" i="21"/>
  <c r="AL14" i="21"/>
  <c r="AH14" i="21"/>
  <c r="AG14" i="21"/>
  <c r="AI14" i="21" s="1"/>
  <c r="AC14" i="21"/>
  <c r="Y14" i="21"/>
  <c r="X14" i="21"/>
  <c r="Z14" i="21" s="1"/>
  <c r="T14" i="21"/>
  <c r="P14" i="21"/>
  <c r="O14" i="21"/>
  <c r="Q14" i="21" s="1"/>
  <c r="K14" i="21"/>
  <c r="G14" i="21"/>
  <c r="F14" i="21"/>
  <c r="H14" i="21" s="1"/>
  <c r="DL13" i="21"/>
  <c r="DF13" i="21"/>
  <c r="DH13" i="21" s="1"/>
  <c r="DB13" i="21"/>
  <c r="CV13" i="21"/>
  <c r="CX13" i="21" s="1"/>
  <c r="CR13" i="21"/>
  <c r="CL13" i="21"/>
  <c r="DJ13" i="21" s="1"/>
  <c r="CH13" i="21"/>
  <c r="CB13" i="21"/>
  <c r="CD13" i="21" s="1"/>
  <c r="BX13" i="21"/>
  <c r="BV13" i="21"/>
  <c r="BR13" i="21"/>
  <c r="BT13" i="21" s="1"/>
  <c r="BN13" i="21"/>
  <c r="BH13" i="21"/>
  <c r="BJ13" i="21" s="1"/>
  <c r="BD13" i="21"/>
  <c r="AY13" i="21"/>
  <c r="BA13" i="21" s="1"/>
  <c r="AU13" i="21"/>
  <c r="AP13" i="21"/>
  <c r="AR13" i="21" s="1"/>
  <c r="AL13" i="21"/>
  <c r="AG13" i="21"/>
  <c r="AI13" i="21" s="1"/>
  <c r="AC13" i="21"/>
  <c r="X13" i="21"/>
  <c r="Z13" i="21" s="1"/>
  <c r="T13" i="21"/>
  <c r="O13" i="21"/>
  <c r="Q13" i="21" s="1"/>
  <c r="K13" i="21"/>
  <c r="F13" i="21"/>
  <c r="H13" i="21" s="1"/>
  <c r="DL12" i="21"/>
  <c r="DF12" i="21"/>
  <c r="DH12" i="21" s="1"/>
  <c r="DB12" i="21"/>
  <c r="CV12" i="21"/>
  <c r="CX12" i="21" s="1"/>
  <c r="CR12" i="21"/>
  <c r="CL12" i="21"/>
  <c r="DJ12" i="21" s="1"/>
  <c r="CH12" i="21"/>
  <c r="CB12" i="21"/>
  <c r="CD12" i="21" s="1"/>
  <c r="BX12" i="21"/>
  <c r="BV12" i="21"/>
  <c r="BR12" i="21"/>
  <c r="BT12" i="21" s="1"/>
  <c r="BN12" i="21"/>
  <c r="BI12" i="21"/>
  <c r="BH12" i="21"/>
  <c r="BJ12" i="21" s="1"/>
  <c r="BD12" i="21"/>
  <c r="AZ12" i="21"/>
  <c r="AY12" i="21"/>
  <c r="BA12" i="21" s="1"/>
  <c r="AU12" i="21"/>
  <c r="AQ12" i="21"/>
  <c r="AP12" i="21"/>
  <c r="AR12" i="21" s="1"/>
  <c r="AL12" i="21"/>
  <c r="AH12" i="21"/>
  <c r="AG12" i="21"/>
  <c r="AI12" i="21" s="1"/>
  <c r="AC12" i="21"/>
  <c r="Y12" i="21"/>
  <c r="X12" i="21"/>
  <c r="Z12" i="21" s="1"/>
  <c r="T12" i="21"/>
  <c r="P12" i="21"/>
  <c r="O12" i="21"/>
  <c r="Q12" i="21" s="1"/>
  <c r="K12" i="21"/>
  <c r="G12" i="21"/>
  <c r="F12" i="21"/>
  <c r="H12" i="21" s="1"/>
  <c r="DL11" i="21"/>
  <c r="DF11" i="21"/>
  <c r="DH11" i="21" s="1"/>
  <c r="DB11" i="21"/>
  <c r="CV11" i="21"/>
  <c r="CX11" i="21" s="1"/>
  <c r="CR11" i="21"/>
  <c r="CL11" i="21"/>
  <c r="DJ11" i="21" s="1"/>
  <c r="CH11" i="21"/>
  <c r="CB11" i="21"/>
  <c r="CD11" i="21" s="1"/>
  <c r="BX11" i="21"/>
  <c r="BR11" i="21"/>
  <c r="BT11" i="21" s="1"/>
  <c r="BN11" i="21"/>
  <c r="BH11" i="21"/>
  <c r="BJ11" i="21" s="1"/>
  <c r="BD11" i="21"/>
  <c r="AY11" i="21"/>
  <c r="BA11" i="21" s="1"/>
  <c r="AU11" i="21"/>
  <c r="AP11" i="21"/>
  <c r="AR11" i="21" s="1"/>
  <c r="AL11" i="21"/>
  <c r="AG11" i="21"/>
  <c r="AI11" i="21" s="1"/>
  <c r="AC11" i="21"/>
  <c r="X11" i="21"/>
  <c r="Z11" i="21" s="1"/>
  <c r="T11" i="21"/>
  <c r="O11" i="21"/>
  <c r="Q11" i="21" s="1"/>
  <c r="K11" i="21"/>
  <c r="F11" i="21"/>
  <c r="H11" i="21" s="1"/>
  <c r="DL10" i="21"/>
  <c r="DF10" i="21"/>
  <c r="DH10" i="21" s="1"/>
  <c r="DB10" i="21"/>
  <c r="CV10" i="21"/>
  <c r="CX10" i="21" s="1"/>
  <c r="CR10" i="21"/>
  <c r="CL10" i="21"/>
  <c r="DJ10" i="21" s="1"/>
  <c r="CH10" i="21"/>
  <c r="CB10" i="21"/>
  <c r="CD10" i="21" s="1"/>
  <c r="BX10" i="21"/>
  <c r="BR10" i="21"/>
  <c r="BT10" i="21" s="1"/>
  <c r="BN10" i="21"/>
  <c r="BH10" i="21"/>
  <c r="BJ10" i="21" s="1"/>
  <c r="BD10" i="21"/>
  <c r="AZ10" i="21"/>
  <c r="AY10" i="21"/>
  <c r="BA10" i="21" s="1"/>
  <c r="AU10" i="21"/>
  <c r="AQ10" i="21"/>
  <c r="AP10" i="21"/>
  <c r="AR10" i="21" s="1"/>
  <c r="AL10" i="21"/>
  <c r="AH10" i="21"/>
  <c r="AG10" i="21"/>
  <c r="AI10" i="21" s="1"/>
  <c r="AC10" i="21"/>
  <c r="Y10" i="21"/>
  <c r="X10" i="21"/>
  <c r="Z10" i="21" s="1"/>
  <c r="T10" i="21"/>
  <c r="P10" i="21"/>
  <c r="O10" i="21"/>
  <c r="Q10" i="21" s="1"/>
  <c r="K10" i="21"/>
  <c r="G10" i="21"/>
  <c r="F10" i="21"/>
  <c r="H10" i="21" s="1"/>
  <c r="DL9" i="21"/>
  <c r="DF9" i="21"/>
  <c r="DH9" i="21" s="1"/>
  <c r="DB9" i="21"/>
  <c r="CW9" i="21"/>
  <c r="CV9" i="21"/>
  <c r="CX9" i="21" s="1"/>
  <c r="CR9" i="21"/>
  <c r="CL9" i="21"/>
  <c r="CH9" i="21"/>
  <c r="CB9" i="21"/>
  <c r="CD9" i="21" s="1"/>
  <c r="BX9" i="21"/>
  <c r="BR9" i="21"/>
  <c r="BT9" i="21" s="1"/>
  <c r="BN9" i="21"/>
  <c r="BH9" i="21"/>
  <c r="BJ9" i="21" s="1"/>
  <c r="BD9" i="21"/>
  <c r="AY9" i="21"/>
  <c r="BA9" i="21" s="1"/>
  <c r="AU9" i="21"/>
  <c r="AP9" i="21"/>
  <c r="AR9" i="21" s="1"/>
  <c r="AL9" i="21"/>
  <c r="AG9" i="21"/>
  <c r="AI9" i="21" s="1"/>
  <c r="AC9" i="21"/>
  <c r="X9" i="21"/>
  <c r="Z9" i="21" s="1"/>
  <c r="T9" i="21"/>
  <c r="O9" i="21"/>
  <c r="Q9" i="21" s="1"/>
  <c r="K9" i="21"/>
  <c r="H9" i="21"/>
  <c r="BL19" i="21" l="1"/>
  <c r="BI35" i="21"/>
  <c r="BI40" i="21"/>
  <c r="CC46" i="21"/>
  <c r="CW13" i="21"/>
  <c r="CC24" i="21"/>
  <c r="CW34" i="21"/>
  <c r="BL37" i="21"/>
  <c r="DG38" i="21"/>
  <c r="DK38" i="21" s="1"/>
  <c r="DM38" i="21" s="1"/>
  <c r="BI46" i="21"/>
  <c r="BI10" i="21"/>
  <c r="BV14" i="21"/>
  <c r="CW14" i="21"/>
  <c r="BI23" i="21"/>
  <c r="CC30" i="21"/>
  <c r="BV32" i="21"/>
  <c r="CW32" i="21"/>
  <c r="DA32" i="21" s="1"/>
  <c r="DC32" i="21" s="1"/>
  <c r="CC43" i="21"/>
  <c r="BV45" i="21"/>
  <c r="CW45" i="21"/>
  <c r="DJ9" i="21"/>
  <c r="BL9" i="21"/>
  <c r="BL18" i="21"/>
  <c r="BV35" i="21"/>
  <c r="CC13" i="21"/>
  <c r="DG17" i="21"/>
  <c r="CC26" i="21"/>
  <c r="CW28" i="21"/>
  <c r="BV33" i="21"/>
  <c r="CC34" i="21"/>
  <c r="CW41" i="21"/>
  <c r="BL39" i="21"/>
  <c r="BI15" i="21"/>
  <c r="DG18" i="21"/>
  <c r="CO19" i="21"/>
  <c r="BV10" i="21"/>
  <c r="CF39" i="21"/>
  <c r="BI27" i="21"/>
  <c r="CC11" i="21"/>
  <c r="CW26" i="21"/>
  <c r="BI33" i="21"/>
  <c r="CO37" i="21"/>
  <c r="BV9" i="21"/>
  <c r="CC9" i="21"/>
  <c r="BV11" i="21"/>
  <c r="CW11" i="21"/>
  <c r="DG19" i="21"/>
  <c r="CC22" i="21"/>
  <c r="CW24" i="21"/>
  <c r="BV29" i="21"/>
  <c r="BI31" i="21"/>
  <c r="DG37" i="21"/>
  <c r="BI44" i="21"/>
  <c r="R40" i="23"/>
  <c r="Q7" i="23"/>
  <c r="X3" i="23" s="1"/>
  <c r="AE3" i="23" s="1"/>
  <c r="Q7" i="24"/>
  <c r="X3" i="24" s="1"/>
  <c r="P108" i="9"/>
  <c r="R9" i="21"/>
  <c r="AJ9" i="21"/>
  <c r="AS9" i="21"/>
  <c r="BK9" i="21"/>
  <c r="R11" i="21"/>
  <c r="AJ11" i="21"/>
  <c r="BK11" i="21"/>
  <c r="CE12" i="21"/>
  <c r="CY12" i="21"/>
  <c r="I13" i="21"/>
  <c r="R13" i="21"/>
  <c r="AA13" i="21"/>
  <c r="AJ13" i="21"/>
  <c r="AS13" i="21"/>
  <c r="BB13" i="21"/>
  <c r="BK13" i="21"/>
  <c r="BA14" i="21"/>
  <c r="AZ14" i="21"/>
  <c r="CX15" i="21"/>
  <c r="CW15" i="21"/>
  <c r="Q16" i="21"/>
  <c r="P16" i="21"/>
  <c r="BT16" i="21"/>
  <c r="BS16" i="21"/>
  <c r="DJ16" i="21"/>
  <c r="CM16" i="21"/>
  <c r="BV16" i="21"/>
  <c r="BT17" i="21"/>
  <c r="BS17" i="21"/>
  <c r="DJ17" i="21"/>
  <c r="DK17" i="21" s="1"/>
  <c r="DM17" i="21" s="1"/>
  <c r="CZ17" i="21"/>
  <c r="CM17" i="21"/>
  <c r="BV17" i="21"/>
  <c r="BT19" i="21"/>
  <c r="BS19" i="21"/>
  <c r="DJ19" i="21"/>
  <c r="CZ19" i="21"/>
  <c r="CM19" i="21"/>
  <c r="BV19" i="21"/>
  <c r="CX20" i="21"/>
  <c r="CW20" i="21"/>
  <c r="AA9" i="21"/>
  <c r="BB9" i="21"/>
  <c r="CE10" i="21"/>
  <c r="CY10" i="21"/>
  <c r="I11" i="21"/>
  <c r="AA11" i="21"/>
  <c r="AS11" i="21"/>
  <c r="BB11" i="21"/>
  <c r="J9" i="21"/>
  <c r="P9" i="21"/>
  <c r="Y9" i="21"/>
  <c r="AB9" i="21" s="1"/>
  <c r="AH9" i="21"/>
  <c r="AQ9" i="21"/>
  <c r="AT9" i="21" s="1"/>
  <c r="AZ9" i="21"/>
  <c r="BI9" i="21"/>
  <c r="BM9" i="21" s="1"/>
  <c r="BO9" i="21" s="1"/>
  <c r="CE9" i="21"/>
  <c r="CY9" i="21"/>
  <c r="I10" i="21"/>
  <c r="R10" i="21"/>
  <c r="S10" i="21" s="1"/>
  <c r="U10" i="21" s="1"/>
  <c r="AA10" i="21"/>
  <c r="AJ10" i="21"/>
  <c r="AK10" i="21" s="1"/>
  <c r="AM10" i="21" s="1"/>
  <c r="AS10" i="21"/>
  <c r="BB10" i="21"/>
  <c r="BC10" i="21" s="1"/>
  <c r="BE10" i="21" s="1"/>
  <c r="BK10" i="21"/>
  <c r="CC10" i="21"/>
  <c r="CW10" i="21"/>
  <c r="G11" i="21"/>
  <c r="J11" i="21" s="1"/>
  <c r="P11" i="21"/>
  <c r="Y11" i="21"/>
  <c r="AB11" i="21" s="1"/>
  <c r="AH11" i="21"/>
  <c r="AQ11" i="21"/>
  <c r="AT11" i="21" s="1"/>
  <c r="AZ11" i="21"/>
  <c r="BI11" i="21"/>
  <c r="CE11" i="21"/>
  <c r="CY11" i="21"/>
  <c r="I12" i="21"/>
  <c r="R12" i="21"/>
  <c r="S12" i="21" s="1"/>
  <c r="U12" i="21" s="1"/>
  <c r="AA12" i="21"/>
  <c r="AJ12" i="21"/>
  <c r="AK12" i="21" s="1"/>
  <c r="AM12" i="21" s="1"/>
  <c r="AS12" i="21"/>
  <c r="BB12" i="21"/>
  <c r="BC12" i="21" s="1"/>
  <c r="BE12" i="21" s="1"/>
  <c r="BK12" i="21"/>
  <c r="CC12" i="21"/>
  <c r="CW12" i="21"/>
  <c r="G13" i="21"/>
  <c r="J13" i="21" s="1"/>
  <c r="P13" i="21"/>
  <c r="Y13" i="21"/>
  <c r="AB13" i="21" s="1"/>
  <c r="AH13" i="21"/>
  <c r="AQ13" i="21"/>
  <c r="AT13" i="21" s="1"/>
  <c r="AZ13" i="21"/>
  <c r="BI13" i="21"/>
  <c r="CE13" i="21"/>
  <c r="CY13" i="21"/>
  <c r="I14" i="21"/>
  <c r="R14" i="21"/>
  <c r="S14" i="21" s="1"/>
  <c r="U14" i="21" s="1"/>
  <c r="AA14" i="21"/>
  <c r="AJ14" i="21"/>
  <c r="AK14" i="21" s="1"/>
  <c r="AM14" i="21" s="1"/>
  <c r="AR14" i="21"/>
  <c r="AQ14" i="21"/>
  <c r="BB14" i="21"/>
  <c r="BJ14" i="21"/>
  <c r="BI14" i="21"/>
  <c r="BV15" i="21"/>
  <c r="CD15" i="21"/>
  <c r="CC15" i="21"/>
  <c r="CY15" i="21"/>
  <c r="H16" i="21"/>
  <c r="G16" i="21"/>
  <c r="R16" i="21"/>
  <c r="AA16" i="21"/>
  <c r="Y16" i="21"/>
  <c r="BU16" i="21"/>
  <c r="CO16" i="21"/>
  <c r="DH16" i="21"/>
  <c r="DG16" i="21"/>
  <c r="BT18" i="21"/>
  <c r="BS18" i="21"/>
  <c r="DJ18" i="21"/>
  <c r="DK18" i="21" s="1"/>
  <c r="DM18" i="21" s="1"/>
  <c r="CZ18" i="21"/>
  <c r="CM18" i="21"/>
  <c r="BV18" i="21"/>
  <c r="BT20" i="21"/>
  <c r="BS20" i="21"/>
  <c r="CZ20" i="21"/>
  <c r="DJ20" i="21"/>
  <c r="CM20" i="21"/>
  <c r="BV20" i="21"/>
  <c r="CY20" i="21"/>
  <c r="CE14" i="21"/>
  <c r="CY14" i="21"/>
  <c r="I15" i="21"/>
  <c r="J15" i="21" s="1"/>
  <c r="L15" i="21" s="1"/>
  <c r="R15" i="21"/>
  <c r="AA15" i="21"/>
  <c r="AB15" i="21" s="1"/>
  <c r="AD15" i="21" s="1"/>
  <c r="AJ15" i="21"/>
  <c r="AS15" i="21"/>
  <c r="AT15" i="21" s="1"/>
  <c r="AV15" i="21" s="1"/>
  <c r="BB15" i="21"/>
  <c r="BK15" i="21"/>
  <c r="DI17" i="21"/>
  <c r="DI18" i="21"/>
  <c r="DI19" i="21"/>
  <c r="I21" i="21"/>
  <c r="J21" i="21" s="1"/>
  <c r="L21" i="21" s="1"/>
  <c r="R21" i="21"/>
  <c r="AA21" i="21"/>
  <c r="AB21" i="21" s="1"/>
  <c r="AD21" i="21" s="1"/>
  <c r="AJ21" i="21"/>
  <c r="AS21" i="21"/>
  <c r="AT21" i="21" s="1"/>
  <c r="AV21" i="21" s="1"/>
  <c r="BB21" i="21"/>
  <c r="BK21" i="21"/>
  <c r="CC21" i="21"/>
  <c r="CW21" i="21"/>
  <c r="G22" i="21"/>
  <c r="P22" i="21"/>
  <c r="Y22" i="21"/>
  <c r="AH22" i="21"/>
  <c r="AQ22" i="21"/>
  <c r="AZ22" i="21"/>
  <c r="BI22" i="21"/>
  <c r="CE22" i="21"/>
  <c r="CY22" i="21"/>
  <c r="I23" i="21"/>
  <c r="R23" i="21"/>
  <c r="AA23" i="21"/>
  <c r="AJ23" i="21"/>
  <c r="AS23" i="21"/>
  <c r="BB23" i="21"/>
  <c r="BK23" i="21"/>
  <c r="CC23" i="21"/>
  <c r="CW23" i="21"/>
  <c r="G24" i="21"/>
  <c r="P24" i="21"/>
  <c r="Y24" i="21"/>
  <c r="AH24" i="21"/>
  <c r="AQ24" i="21"/>
  <c r="AZ24" i="21"/>
  <c r="BI24" i="21"/>
  <c r="CE24" i="21"/>
  <c r="CY24" i="21"/>
  <c r="I25" i="21"/>
  <c r="R25" i="21"/>
  <c r="AA25" i="21"/>
  <c r="AJ25" i="21"/>
  <c r="AS25" i="21"/>
  <c r="BB25" i="21"/>
  <c r="BK25" i="21"/>
  <c r="CC25" i="21"/>
  <c r="CW25" i="21"/>
  <c r="G26" i="21"/>
  <c r="P26" i="21"/>
  <c r="Y26" i="21"/>
  <c r="AH26" i="21"/>
  <c r="AQ26" i="21"/>
  <c r="AZ26" i="21"/>
  <c r="BI26" i="21"/>
  <c r="CE26" i="21"/>
  <c r="CY26" i="21"/>
  <c r="I27" i="21"/>
  <c r="R27" i="21"/>
  <c r="AA27" i="21"/>
  <c r="AJ27" i="21"/>
  <c r="AS27" i="21"/>
  <c r="BB27" i="21"/>
  <c r="BK27" i="21"/>
  <c r="CC27" i="21"/>
  <c r="CW27" i="21"/>
  <c r="G28" i="21"/>
  <c r="J28" i="21" s="1"/>
  <c r="P28" i="21"/>
  <c r="Y28" i="21"/>
  <c r="AH28" i="21"/>
  <c r="AQ28" i="21"/>
  <c r="AZ28" i="21"/>
  <c r="BI28" i="21"/>
  <c r="CE28" i="21"/>
  <c r="CY28" i="21"/>
  <c r="I29" i="21"/>
  <c r="R29" i="21"/>
  <c r="AA29" i="21"/>
  <c r="AJ29" i="21"/>
  <c r="AS29" i="21"/>
  <c r="BB29" i="21"/>
  <c r="BK29" i="21"/>
  <c r="CC29" i="21"/>
  <c r="CW29" i="21"/>
  <c r="G30" i="21"/>
  <c r="P30" i="21"/>
  <c r="Y30" i="21"/>
  <c r="AH30" i="21"/>
  <c r="AQ30" i="21"/>
  <c r="AZ30" i="21"/>
  <c r="BI30" i="21"/>
  <c r="CE30" i="21"/>
  <c r="CY30" i="21"/>
  <c r="DA30" i="21" s="1"/>
  <c r="DC30" i="21" s="1"/>
  <c r="I31" i="21"/>
  <c r="R31" i="21"/>
  <c r="AA31" i="21"/>
  <c r="AJ31" i="21"/>
  <c r="AS31" i="21"/>
  <c r="BB31" i="21"/>
  <c r="BK31" i="21"/>
  <c r="CC31" i="21"/>
  <c r="CW31" i="21"/>
  <c r="DA31" i="21" s="1"/>
  <c r="DC31" i="21" s="1"/>
  <c r="G32" i="21"/>
  <c r="P32" i="21"/>
  <c r="Y32" i="21"/>
  <c r="AH32" i="21"/>
  <c r="AQ32" i="21"/>
  <c r="AZ32" i="21"/>
  <c r="BI32" i="21"/>
  <c r="CE32" i="21"/>
  <c r="CY32" i="21"/>
  <c r="I33" i="21"/>
  <c r="R33" i="21"/>
  <c r="AA33" i="21"/>
  <c r="AJ33" i="21"/>
  <c r="AS33" i="21"/>
  <c r="BA33" i="21"/>
  <c r="BB33" i="21"/>
  <c r="CX33" i="21"/>
  <c r="CW33" i="21"/>
  <c r="DA33" i="21" s="1"/>
  <c r="DC33" i="21" s="1"/>
  <c r="Q34" i="21"/>
  <c r="P34" i="21"/>
  <c r="AI34" i="21"/>
  <c r="AH34" i="21"/>
  <c r="BA34" i="21"/>
  <c r="AZ34" i="21"/>
  <c r="CX35" i="21"/>
  <c r="CW35" i="21"/>
  <c r="Q36" i="21"/>
  <c r="P36" i="21"/>
  <c r="AI36" i="21"/>
  <c r="AH36" i="21"/>
  <c r="BA36" i="21"/>
  <c r="AZ36" i="21"/>
  <c r="CE21" i="21"/>
  <c r="CY21" i="21"/>
  <c r="I22" i="21"/>
  <c r="R22" i="21"/>
  <c r="AA22" i="21"/>
  <c r="AJ22" i="21"/>
  <c r="AS22" i="21"/>
  <c r="BB22" i="21"/>
  <c r="BK22" i="21"/>
  <c r="J23" i="21"/>
  <c r="AB23" i="21"/>
  <c r="AT23" i="21"/>
  <c r="CE23" i="21"/>
  <c r="CY23" i="21"/>
  <c r="I24" i="21"/>
  <c r="R24" i="21"/>
  <c r="AA24" i="21"/>
  <c r="AJ24" i="21"/>
  <c r="AS24" i="21"/>
  <c r="BB24" i="21"/>
  <c r="BK24" i="21"/>
  <c r="J25" i="21"/>
  <c r="AB25" i="21"/>
  <c r="AT25" i="21"/>
  <c r="CE25" i="21"/>
  <c r="CY25" i="21"/>
  <c r="I26" i="21"/>
  <c r="R26" i="21"/>
  <c r="AA26" i="21"/>
  <c r="AJ26" i="21"/>
  <c r="AS26" i="21"/>
  <c r="BB26" i="21"/>
  <c r="BK26" i="21"/>
  <c r="J27" i="21"/>
  <c r="AB27" i="21"/>
  <c r="AT27" i="21"/>
  <c r="CE27" i="21"/>
  <c r="CY27" i="21"/>
  <c r="I28" i="21"/>
  <c r="R28" i="21"/>
  <c r="AA28" i="21"/>
  <c r="AJ28" i="21"/>
  <c r="AS28" i="21"/>
  <c r="BB28" i="21"/>
  <c r="BK28" i="21"/>
  <c r="AB29" i="21"/>
  <c r="AT29" i="21"/>
  <c r="CE29" i="21"/>
  <c r="CY29" i="21"/>
  <c r="I30" i="21"/>
  <c r="R30" i="21"/>
  <c r="AA30" i="21"/>
  <c r="AJ30" i="21"/>
  <c r="AS30" i="21"/>
  <c r="BB30" i="21"/>
  <c r="BK30" i="21"/>
  <c r="J31" i="21"/>
  <c r="AB31" i="21"/>
  <c r="AT31" i="21"/>
  <c r="CE31" i="21"/>
  <c r="CY31" i="21"/>
  <c r="I32" i="21"/>
  <c r="R32" i="21"/>
  <c r="AA32" i="21"/>
  <c r="AJ32" i="21"/>
  <c r="AS32" i="21"/>
  <c r="BB32" i="21"/>
  <c r="BK32" i="21"/>
  <c r="J33" i="21"/>
  <c r="AB33" i="21"/>
  <c r="AT33" i="21"/>
  <c r="CD33" i="21"/>
  <c r="CC33" i="21"/>
  <c r="H34" i="21"/>
  <c r="G34" i="21"/>
  <c r="J34" i="21" s="1"/>
  <c r="Z34" i="21"/>
  <c r="Y34" i="21"/>
  <c r="AB34" i="21" s="1"/>
  <c r="AR34" i="21"/>
  <c r="AQ34" i="21"/>
  <c r="AT34" i="21" s="1"/>
  <c r="BJ34" i="21"/>
  <c r="BI34" i="21"/>
  <c r="CD35" i="21"/>
  <c r="CC35" i="21"/>
  <c r="H36" i="21"/>
  <c r="G36" i="21"/>
  <c r="Z36" i="21"/>
  <c r="Y36" i="21"/>
  <c r="AR36" i="21"/>
  <c r="AQ36" i="21"/>
  <c r="BT37" i="21"/>
  <c r="BS37" i="21"/>
  <c r="DJ37" i="21"/>
  <c r="CZ37" i="21"/>
  <c r="CM37" i="21"/>
  <c r="BV37" i="21"/>
  <c r="BU38" i="21"/>
  <c r="CO38" i="21"/>
  <c r="BU39" i="21"/>
  <c r="CO39" i="21"/>
  <c r="CE40" i="21"/>
  <c r="CY40" i="21"/>
  <c r="I41" i="21"/>
  <c r="R41" i="21"/>
  <c r="AA41" i="21"/>
  <c r="AJ41" i="21"/>
  <c r="AS41" i="21"/>
  <c r="BB41" i="21"/>
  <c r="BK41" i="21"/>
  <c r="CE42" i="21"/>
  <c r="CY42" i="21"/>
  <c r="I43" i="21"/>
  <c r="R43" i="21"/>
  <c r="AA43" i="21"/>
  <c r="AJ43" i="21"/>
  <c r="AS43" i="21"/>
  <c r="BB43" i="21"/>
  <c r="BK43" i="21"/>
  <c r="CE44" i="21"/>
  <c r="CY44" i="21"/>
  <c r="I45" i="21"/>
  <c r="R45" i="21"/>
  <c r="AA45" i="21"/>
  <c r="AJ45" i="21"/>
  <c r="AS45" i="21"/>
  <c r="BB45" i="21"/>
  <c r="BK45" i="21"/>
  <c r="BK33" i="21"/>
  <c r="CE34" i="21"/>
  <c r="CY34" i="21"/>
  <c r="I35" i="21"/>
  <c r="J35" i="21" s="1"/>
  <c r="L35" i="21" s="1"/>
  <c r="R35" i="21"/>
  <c r="AA35" i="21"/>
  <c r="AB35" i="21" s="1"/>
  <c r="AD35" i="21" s="1"/>
  <c r="AJ35" i="21"/>
  <c r="AS35" i="21"/>
  <c r="AT35" i="21" s="1"/>
  <c r="AV35" i="21" s="1"/>
  <c r="BB35" i="21"/>
  <c r="BK35" i="21"/>
  <c r="DI37" i="21"/>
  <c r="BS38" i="21"/>
  <c r="BV38" i="21"/>
  <c r="CM38" i="21"/>
  <c r="CZ38" i="21"/>
  <c r="DI38" i="21"/>
  <c r="BS39" i="21"/>
  <c r="BV39" i="21"/>
  <c r="CM39" i="21"/>
  <c r="DJ39" i="21"/>
  <c r="I40" i="21"/>
  <c r="J40" i="21" s="1"/>
  <c r="L40" i="21" s="1"/>
  <c r="R40" i="21"/>
  <c r="AA40" i="21"/>
  <c r="AB40" i="21" s="1"/>
  <c r="AD40" i="21" s="1"/>
  <c r="AJ40" i="21"/>
  <c r="AS40" i="21"/>
  <c r="AT40" i="21" s="1"/>
  <c r="AV40" i="21" s="1"/>
  <c r="BB40" i="21"/>
  <c r="BK40" i="21"/>
  <c r="CC40" i="21"/>
  <c r="CW40" i="21"/>
  <c r="G41" i="21"/>
  <c r="J41" i="21" s="1"/>
  <c r="P41" i="21"/>
  <c r="Y41" i="21"/>
  <c r="AB41" i="21" s="1"/>
  <c r="AH41" i="21"/>
  <c r="AQ41" i="21"/>
  <c r="AT41" i="21" s="1"/>
  <c r="AZ41" i="21"/>
  <c r="BI41" i="21"/>
  <c r="CE41" i="21"/>
  <c r="CY41" i="21"/>
  <c r="I42" i="21"/>
  <c r="J42" i="21" s="1"/>
  <c r="L42" i="21" s="1"/>
  <c r="R42" i="21"/>
  <c r="AA42" i="21"/>
  <c r="AB42" i="21" s="1"/>
  <c r="AD42" i="21" s="1"/>
  <c r="AJ42" i="21"/>
  <c r="AS42" i="21"/>
  <c r="AT42" i="21" s="1"/>
  <c r="AV42" i="21" s="1"/>
  <c r="BB42" i="21"/>
  <c r="BK42" i="21"/>
  <c r="CC42" i="21"/>
  <c r="CW42" i="21"/>
  <c r="G43" i="21"/>
  <c r="J43" i="21" s="1"/>
  <c r="P43" i="21"/>
  <c r="Y43" i="21"/>
  <c r="AB43" i="21" s="1"/>
  <c r="AH43" i="21"/>
  <c r="AQ43" i="21"/>
  <c r="AT43" i="21" s="1"/>
  <c r="AZ43" i="21"/>
  <c r="BI43" i="21"/>
  <c r="CE43" i="21"/>
  <c r="CY43" i="21"/>
  <c r="I44" i="21"/>
  <c r="J44" i="21" s="1"/>
  <c r="L44" i="21" s="1"/>
  <c r="R44" i="21"/>
  <c r="AA44" i="21"/>
  <c r="AB44" i="21" s="1"/>
  <c r="AD44" i="21" s="1"/>
  <c r="AJ44" i="21"/>
  <c r="AS44" i="21"/>
  <c r="AT44" i="21" s="1"/>
  <c r="AV44" i="21" s="1"/>
  <c r="BB44" i="21"/>
  <c r="BK44" i="21"/>
  <c r="CC44" i="21"/>
  <c r="CW44" i="21"/>
  <c r="DA44" i="21" s="1"/>
  <c r="DC44" i="21" s="1"/>
  <c r="G45" i="21"/>
  <c r="P45" i="21"/>
  <c r="S45" i="21" s="1"/>
  <c r="Y45" i="21"/>
  <c r="AH45" i="21"/>
  <c r="AK45" i="21" s="1"/>
  <c r="AQ45" i="21"/>
  <c r="AZ45" i="21"/>
  <c r="BC45" i="21" s="1"/>
  <c r="BI45" i="21"/>
  <c r="CE45" i="21"/>
  <c r="CY45" i="21"/>
  <c r="DA45" i="21" s="1"/>
  <c r="DC45" i="21" s="1"/>
  <c r="I46" i="21"/>
  <c r="J46" i="21" s="1"/>
  <c r="L46" i="21" s="1"/>
  <c r="R46" i="21"/>
  <c r="AA46" i="21"/>
  <c r="AB46" i="21" s="1"/>
  <c r="AD46" i="21" s="1"/>
  <c r="AJ46" i="21"/>
  <c r="AS46" i="21"/>
  <c r="AT46" i="21" s="1"/>
  <c r="AV46" i="21" s="1"/>
  <c r="BB46" i="21"/>
  <c r="BK46" i="21"/>
  <c r="BM46" i="21" s="1"/>
  <c r="BO46" i="21" s="1"/>
  <c r="CE46" i="21"/>
  <c r="CY46" i="21"/>
  <c r="I36" i="22"/>
  <c r="G23" i="23"/>
  <c r="I37" i="22"/>
  <c r="G23" i="24"/>
  <c r="F48" i="23"/>
  <c r="E23" i="22"/>
  <c r="G19" i="22"/>
  <c r="Q27" i="23"/>
  <c r="I24" i="24"/>
  <c r="X29" i="24" s="1"/>
  <c r="Y29" i="24"/>
  <c r="Z28" i="24" s="1"/>
  <c r="Q27" i="24"/>
  <c r="R40" i="24"/>
  <c r="Q47" i="24"/>
  <c r="R40" i="22"/>
  <c r="I24" i="23"/>
  <c r="X29" i="23" s="1"/>
  <c r="Y29" i="23"/>
  <c r="Z28" i="23" s="1"/>
  <c r="E50" i="23"/>
  <c r="G23" i="22"/>
  <c r="E7" i="23" s="1"/>
  <c r="Q29" i="23" s="1"/>
  <c r="I23" i="22"/>
  <c r="T76" i="9"/>
  <c r="L9" i="21"/>
  <c r="AD9" i="21"/>
  <c r="AV9" i="21"/>
  <c r="L11" i="21"/>
  <c r="AD11" i="21"/>
  <c r="AV11" i="21"/>
  <c r="L13" i="21"/>
  <c r="AD13" i="21"/>
  <c r="AV13" i="21"/>
  <c r="S9" i="21"/>
  <c r="U9" i="21" s="1"/>
  <c r="AK9" i="21"/>
  <c r="AM9" i="21" s="1"/>
  <c r="BC9" i="21"/>
  <c r="BE9" i="21" s="1"/>
  <c r="J10" i="21"/>
  <c r="L10" i="21" s="1"/>
  <c r="AB10" i="21"/>
  <c r="AD10" i="21" s="1"/>
  <c r="AT10" i="21"/>
  <c r="AV10" i="21" s="1"/>
  <c r="S11" i="21"/>
  <c r="U11" i="21" s="1"/>
  <c r="AK11" i="21"/>
  <c r="AM11" i="21" s="1"/>
  <c r="BC11" i="21"/>
  <c r="BE11" i="21" s="1"/>
  <c r="J12" i="21"/>
  <c r="L12" i="21" s="1"/>
  <c r="AB12" i="21"/>
  <c r="AD12" i="21" s="1"/>
  <c r="AT12" i="21"/>
  <c r="AV12" i="21" s="1"/>
  <c r="S13" i="21"/>
  <c r="U13" i="21" s="1"/>
  <c r="AK13" i="21"/>
  <c r="AM13" i="21" s="1"/>
  <c r="BC13" i="21"/>
  <c r="BE13" i="21" s="1"/>
  <c r="J14" i="21"/>
  <c r="L14" i="21" s="1"/>
  <c r="AB14" i="21"/>
  <c r="AD14" i="21" s="1"/>
  <c r="AT14" i="21"/>
  <c r="AV14" i="21" s="1"/>
  <c r="S15" i="21"/>
  <c r="U15" i="21" s="1"/>
  <c r="AK15" i="21"/>
  <c r="AM15" i="21" s="1"/>
  <c r="BC15" i="21"/>
  <c r="BE15" i="21" s="1"/>
  <c r="J16" i="21"/>
  <c r="L16" i="21" s="1"/>
  <c r="DK19" i="21"/>
  <c r="DM19" i="21" s="1"/>
  <c r="DI20" i="21"/>
  <c r="DG20" i="21"/>
  <c r="BU21" i="21"/>
  <c r="BS21" i="21"/>
  <c r="CZ21" i="21"/>
  <c r="CO21" i="21"/>
  <c r="CM21" i="21"/>
  <c r="CF21" i="21"/>
  <c r="CG21" i="21" s="1"/>
  <c r="CI21" i="21" s="1"/>
  <c r="BL21" i="21"/>
  <c r="BM21" i="21" s="1"/>
  <c r="BO21" i="21" s="1"/>
  <c r="DI21" i="21"/>
  <c r="DG21" i="21"/>
  <c r="BU22" i="21"/>
  <c r="BS22" i="21"/>
  <c r="CZ22" i="21"/>
  <c r="CO22" i="21"/>
  <c r="CM22" i="21"/>
  <c r="CF22" i="21"/>
  <c r="CG22" i="21" s="1"/>
  <c r="CI22" i="21" s="1"/>
  <c r="BL22" i="21"/>
  <c r="BM22" i="21" s="1"/>
  <c r="BO22" i="21" s="1"/>
  <c r="DI22" i="21"/>
  <c r="DG22" i="21"/>
  <c r="BU23" i="21"/>
  <c r="BS23" i="21"/>
  <c r="CZ23" i="21"/>
  <c r="CO23" i="21"/>
  <c r="CM23" i="21"/>
  <c r="CF23" i="21"/>
  <c r="BL23" i="21"/>
  <c r="DI23" i="21"/>
  <c r="DG23" i="21"/>
  <c r="BU24" i="21"/>
  <c r="BS24" i="21"/>
  <c r="CZ24" i="21"/>
  <c r="CO24" i="21"/>
  <c r="CM24" i="21"/>
  <c r="CF24" i="21"/>
  <c r="BL24" i="21"/>
  <c r="DI24" i="21"/>
  <c r="DG24" i="21"/>
  <c r="BU25" i="21"/>
  <c r="BS25" i="21"/>
  <c r="CZ25" i="21"/>
  <c r="DA25" i="21" s="1"/>
  <c r="DC25" i="21" s="1"/>
  <c r="CO25" i="21"/>
  <c r="CM25" i="21"/>
  <c r="CF25" i="21"/>
  <c r="CG25" i="21" s="1"/>
  <c r="CI25" i="21" s="1"/>
  <c r="BL25" i="21"/>
  <c r="DI25" i="21"/>
  <c r="DG25" i="21"/>
  <c r="BU26" i="21"/>
  <c r="BS26" i="21"/>
  <c r="CZ26" i="21"/>
  <c r="CO26" i="21"/>
  <c r="CM26" i="21"/>
  <c r="CF26" i="21"/>
  <c r="CG26" i="21" s="1"/>
  <c r="CI26" i="21" s="1"/>
  <c r="BL26" i="21"/>
  <c r="BM26" i="21" s="1"/>
  <c r="BO26" i="21" s="1"/>
  <c r="DI26" i="21"/>
  <c r="DG26" i="21"/>
  <c r="BU27" i="21"/>
  <c r="BS27" i="21"/>
  <c r="CZ27" i="21"/>
  <c r="CO27" i="21"/>
  <c r="CM27" i="21"/>
  <c r="CF27" i="21"/>
  <c r="CG27" i="21" s="1"/>
  <c r="CI27" i="21" s="1"/>
  <c r="BL27" i="21"/>
  <c r="BM27" i="21" s="1"/>
  <c r="BO27" i="21" s="1"/>
  <c r="DI27" i="21"/>
  <c r="DG27" i="21"/>
  <c r="BU28" i="21"/>
  <c r="BS28" i="21"/>
  <c r="CZ28" i="21"/>
  <c r="CO28" i="21"/>
  <c r="CM28" i="21"/>
  <c r="CF28" i="21"/>
  <c r="CG28" i="21" s="1"/>
  <c r="CI28" i="21" s="1"/>
  <c r="BL28" i="21"/>
  <c r="BM28" i="21" s="1"/>
  <c r="BO28" i="21" s="1"/>
  <c r="DJ28" i="21"/>
  <c r="CN9" i="21"/>
  <c r="CP9" i="21"/>
  <c r="BS9" i="21"/>
  <c r="BU9" i="21"/>
  <c r="CF9" i="21"/>
  <c r="CG9" i="21" s="1"/>
  <c r="CI9" i="21" s="1"/>
  <c r="CM9" i="21"/>
  <c r="CO9" i="21"/>
  <c r="CZ9" i="21"/>
  <c r="DA9" i="21" s="1"/>
  <c r="DC9" i="21" s="1"/>
  <c r="DG9" i="21"/>
  <c r="DI9" i="21"/>
  <c r="BL10" i="21"/>
  <c r="BM10" i="21" s="1"/>
  <c r="BO10" i="21" s="1"/>
  <c r="BS10" i="21"/>
  <c r="BU10" i="21"/>
  <c r="CF10" i="21"/>
  <c r="CG10" i="21" s="1"/>
  <c r="CI10" i="21" s="1"/>
  <c r="CM10" i="21"/>
  <c r="CO10" i="21"/>
  <c r="CZ10" i="21"/>
  <c r="DA10" i="21" s="1"/>
  <c r="DC10" i="21" s="1"/>
  <c r="DG10" i="21"/>
  <c r="DI10" i="21"/>
  <c r="BL11" i="21"/>
  <c r="BS11" i="21"/>
  <c r="BU11" i="21"/>
  <c r="CF11" i="21"/>
  <c r="CG11" i="21" s="1"/>
  <c r="CI11" i="21" s="1"/>
  <c r="CM11" i="21"/>
  <c r="CO11" i="21"/>
  <c r="CZ11" i="21"/>
  <c r="DG11" i="21"/>
  <c r="DI11" i="21"/>
  <c r="BL12" i="21"/>
  <c r="BM12" i="21" s="1"/>
  <c r="BO12" i="21" s="1"/>
  <c r="BS12" i="21"/>
  <c r="BU12" i="21"/>
  <c r="CF12" i="21"/>
  <c r="CM12" i="21"/>
  <c r="CO12" i="21"/>
  <c r="CZ12" i="21"/>
  <c r="DA12" i="21" s="1"/>
  <c r="DC12" i="21" s="1"/>
  <c r="DG12" i="21"/>
  <c r="DI12" i="21"/>
  <c r="BL13" i="21"/>
  <c r="BS13" i="21"/>
  <c r="BU13" i="21"/>
  <c r="CF13" i="21"/>
  <c r="CM13" i="21"/>
  <c r="CO13" i="21"/>
  <c r="CZ13" i="21"/>
  <c r="DG13" i="21"/>
  <c r="DI13" i="21"/>
  <c r="BL14" i="21"/>
  <c r="BM14" i="21" s="1"/>
  <c r="BO14" i="21" s="1"/>
  <c r="BS14" i="21"/>
  <c r="BU14" i="21"/>
  <c r="CF14" i="21"/>
  <c r="CG14" i="21" s="1"/>
  <c r="CI14" i="21" s="1"/>
  <c r="CM14" i="21"/>
  <c r="CO14" i="21"/>
  <c r="CZ14" i="21"/>
  <c r="DA14" i="21" s="1"/>
  <c r="DC14" i="21" s="1"/>
  <c r="DG14" i="21"/>
  <c r="DI14" i="21"/>
  <c r="BL15" i="21"/>
  <c r="BS15" i="21"/>
  <c r="BU15" i="21"/>
  <c r="CF15" i="21"/>
  <c r="CG15" i="21" s="1"/>
  <c r="CI15" i="21" s="1"/>
  <c r="CM15" i="21"/>
  <c r="CO15" i="21"/>
  <c r="CZ15" i="21"/>
  <c r="DA15" i="21" s="1"/>
  <c r="DC15" i="21" s="1"/>
  <c r="DG15" i="21"/>
  <c r="DI15" i="21"/>
  <c r="Z16" i="21"/>
  <c r="AB16" i="21" s="1"/>
  <c r="AD16" i="21" s="1"/>
  <c r="AI16" i="21"/>
  <c r="AR16" i="21"/>
  <c r="BA16" i="21"/>
  <c r="BJ16" i="21"/>
  <c r="CD16" i="21"/>
  <c r="CX16" i="21"/>
  <c r="CZ16" i="21"/>
  <c r="DI16" i="21"/>
  <c r="H17" i="21"/>
  <c r="Q17" i="21"/>
  <c r="Z17" i="21"/>
  <c r="AI17" i="21"/>
  <c r="AR17" i="21"/>
  <c r="BA17" i="21"/>
  <c r="BJ17" i="21"/>
  <c r="CD17" i="21"/>
  <c r="CX17" i="21"/>
  <c r="H18" i="21"/>
  <c r="Q18" i="21"/>
  <c r="Z18" i="21"/>
  <c r="AI18" i="21"/>
  <c r="AR18" i="21"/>
  <c r="BA18" i="21"/>
  <c r="BJ18" i="21"/>
  <c r="CD18" i="21"/>
  <c r="CX18" i="21"/>
  <c r="H19" i="21"/>
  <c r="Q19" i="21"/>
  <c r="Z19" i="21"/>
  <c r="AI19" i="21"/>
  <c r="AR19" i="21"/>
  <c r="BA19" i="21"/>
  <c r="BJ19" i="21"/>
  <c r="CD19" i="21"/>
  <c r="CX19" i="21"/>
  <c r="H20" i="21"/>
  <c r="Q20" i="21"/>
  <c r="Z20" i="21"/>
  <c r="AI20" i="21"/>
  <c r="AR20" i="21"/>
  <c r="BA20" i="21"/>
  <c r="BJ20" i="21"/>
  <c r="CD20" i="21"/>
  <c r="CP21" i="21"/>
  <c r="DJ21" i="21"/>
  <c r="CP22" i="21"/>
  <c r="DJ22" i="21"/>
  <c r="L23" i="21"/>
  <c r="AD23" i="21"/>
  <c r="AV23" i="21"/>
  <c r="CP23" i="21"/>
  <c r="DJ23" i="21"/>
  <c r="CP24" i="21"/>
  <c r="DJ24" i="21"/>
  <c r="L25" i="21"/>
  <c r="AD25" i="21"/>
  <c r="AV25" i="21"/>
  <c r="CP25" i="21"/>
  <c r="DJ25" i="21"/>
  <c r="CP26" i="21"/>
  <c r="DJ26" i="21"/>
  <c r="L27" i="21"/>
  <c r="AD27" i="21"/>
  <c r="AV27" i="21"/>
  <c r="CP27" i="21"/>
  <c r="DJ27" i="21"/>
  <c r="L28" i="21"/>
  <c r="CP28" i="21"/>
  <c r="DA28" i="21"/>
  <c r="DC28" i="21" s="1"/>
  <c r="L29" i="21"/>
  <c r="AD29" i="21"/>
  <c r="AV29" i="21"/>
  <c r="L31" i="21"/>
  <c r="AD31" i="21"/>
  <c r="AV31" i="21"/>
  <c r="L33" i="21"/>
  <c r="AD33" i="21"/>
  <c r="AV33" i="21"/>
  <c r="CN10" i="21"/>
  <c r="CP10" i="21"/>
  <c r="CN11" i="21"/>
  <c r="CP11" i="21"/>
  <c r="CN12" i="21"/>
  <c r="CP12" i="21"/>
  <c r="CN13" i="21"/>
  <c r="CP13" i="21"/>
  <c r="CN14" i="21"/>
  <c r="CP14" i="21"/>
  <c r="CN15" i="21"/>
  <c r="CP15" i="21"/>
  <c r="AH16" i="21"/>
  <c r="AK16" i="21" s="1"/>
  <c r="AM16" i="21" s="1"/>
  <c r="AQ16" i="21"/>
  <c r="AT16" i="21" s="1"/>
  <c r="AV16" i="21" s="1"/>
  <c r="AZ16" i="21"/>
  <c r="BC16" i="21" s="1"/>
  <c r="BE16" i="21" s="1"/>
  <c r="BI16" i="21"/>
  <c r="CC16" i="21"/>
  <c r="CN16" i="21"/>
  <c r="CP16" i="21"/>
  <c r="CW16" i="21"/>
  <c r="G17" i="21"/>
  <c r="J17" i="21" s="1"/>
  <c r="L17" i="21" s="1"/>
  <c r="P17" i="21"/>
  <c r="S17" i="21" s="1"/>
  <c r="U17" i="21" s="1"/>
  <c r="Y17" i="21"/>
  <c r="AB17" i="21" s="1"/>
  <c r="AD17" i="21" s="1"/>
  <c r="AH17" i="21"/>
  <c r="AK17" i="21" s="1"/>
  <c r="AM17" i="21" s="1"/>
  <c r="AQ17" i="21"/>
  <c r="AT17" i="21" s="1"/>
  <c r="AV17" i="21" s="1"/>
  <c r="AZ17" i="21"/>
  <c r="BC17" i="21" s="1"/>
  <c r="BE17" i="21" s="1"/>
  <c r="BI17" i="21"/>
  <c r="BM17" i="21" s="1"/>
  <c r="BO17" i="21" s="1"/>
  <c r="CC17" i="21"/>
  <c r="CG17" i="21" s="1"/>
  <c r="CI17" i="21" s="1"/>
  <c r="CN17" i="21"/>
  <c r="CP17" i="21"/>
  <c r="CW17" i="21"/>
  <c r="G18" i="21"/>
  <c r="J18" i="21" s="1"/>
  <c r="L18" i="21" s="1"/>
  <c r="P18" i="21"/>
  <c r="S18" i="21" s="1"/>
  <c r="U18" i="21" s="1"/>
  <c r="Y18" i="21"/>
  <c r="AB18" i="21" s="1"/>
  <c r="AD18" i="21" s="1"/>
  <c r="AH18" i="21"/>
  <c r="AK18" i="21" s="1"/>
  <c r="AM18" i="21" s="1"/>
  <c r="AQ18" i="21"/>
  <c r="AT18" i="21" s="1"/>
  <c r="AV18" i="21" s="1"/>
  <c r="AZ18" i="21"/>
  <c r="BC18" i="21" s="1"/>
  <c r="BE18" i="21" s="1"/>
  <c r="BI18" i="21"/>
  <c r="BM18" i="21" s="1"/>
  <c r="BO18" i="21" s="1"/>
  <c r="CC18" i="21"/>
  <c r="CG18" i="21" s="1"/>
  <c r="CI18" i="21" s="1"/>
  <c r="CN18" i="21"/>
  <c r="CP18" i="21"/>
  <c r="CW18" i="21"/>
  <c r="G19" i="21"/>
  <c r="J19" i="21" s="1"/>
  <c r="L19" i="21" s="1"/>
  <c r="P19" i="21"/>
  <c r="S19" i="21" s="1"/>
  <c r="U19" i="21" s="1"/>
  <c r="Y19" i="21"/>
  <c r="AB19" i="21" s="1"/>
  <c r="AD19" i="21" s="1"/>
  <c r="AH19" i="21"/>
  <c r="AK19" i="21" s="1"/>
  <c r="AM19" i="21" s="1"/>
  <c r="AQ19" i="21"/>
  <c r="AT19" i="21" s="1"/>
  <c r="AV19" i="21" s="1"/>
  <c r="AZ19" i="21"/>
  <c r="BC19" i="21" s="1"/>
  <c r="BE19" i="21" s="1"/>
  <c r="BI19" i="21"/>
  <c r="CC19" i="21"/>
  <c r="CG19" i="21" s="1"/>
  <c r="CI19" i="21" s="1"/>
  <c r="CN19" i="21"/>
  <c r="CP19" i="21"/>
  <c r="CW19" i="21"/>
  <c r="DA19" i="21" s="1"/>
  <c r="DC19" i="21" s="1"/>
  <c r="G20" i="21"/>
  <c r="J20" i="21" s="1"/>
  <c r="L20" i="21" s="1"/>
  <c r="P20" i="21"/>
  <c r="S20" i="21" s="1"/>
  <c r="U20" i="21" s="1"/>
  <c r="Y20" i="21"/>
  <c r="AB20" i="21" s="1"/>
  <c r="AD20" i="21" s="1"/>
  <c r="AH20" i="21"/>
  <c r="AK20" i="21" s="1"/>
  <c r="AM20" i="21" s="1"/>
  <c r="AQ20" i="21"/>
  <c r="AT20" i="21" s="1"/>
  <c r="AV20" i="21" s="1"/>
  <c r="AZ20" i="21"/>
  <c r="BC20" i="21" s="1"/>
  <c r="BE20" i="21" s="1"/>
  <c r="BI20" i="21"/>
  <c r="BM20" i="21" s="1"/>
  <c r="BO20" i="21" s="1"/>
  <c r="CC20" i="21"/>
  <c r="CG20" i="21" s="1"/>
  <c r="CI20" i="21" s="1"/>
  <c r="CN20" i="21"/>
  <c r="CP20" i="21"/>
  <c r="DH20" i="21"/>
  <c r="S21" i="21"/>
  <c r="U21" i="21" s="1"/>
  <c r="AK21" i="21"/>
  <c r="AM21" i="21" s="1"/>
  <c r="BC21" i="21"/>
  <c r="BE21" i="21" s="1"/>
  <c r="BT21" i="21"/>
  <c r="CN21" i="21"/>
  <c r="DH21" i="21"/>
  <c r="S22" i="21"/>
  <c r="U22" i="21" s="1"/>
  <c r="AK22" i="21"/>
  <c r="AM22" i="21" s="1"/>
  <c r="BC22" i="21"/>
  <c r="BE22" i="21" s="1"/>
  <c r="BT22" i="21"/>
  <c r="CN22" i="21"/>
  <c r="DH22" i="21"/>
  <c r="S23" i="21"/>
  <c r="U23" i="21" s="1"/>
  <c r="AK23" i="21"/>
  <c r="AM23" i="21" s="1"/>
  <c r="BC23" i="21"/>
  <c r="BE23" i="21" s="1"/>
  <c r="BT23" i="21"/>
  <c r="CN23" i="21"/>
  <c r="DH23" i="21"/>
  <c r="S24" i="21"/>
  <c r="U24" i="21" s="1"/>
  <c r="AK24" i="21"/>
  <c r="AM24" i="21" s="1"/>
  <c r="BC24" i="21"/>
  <c r="BE24" i="21" s="1"/>
  <c r="BT24" i="21"/>
  <c r="CN24" i="21"/>
  <c r="DH24" i="21"/>
  <c r="S25" i="21"/>
  <c r="U25" i="21" s="1"/>
  <c r="AK25" i="21"/>
  <c r="AM25" i="21" s="1"/>
  <c r="BC25" i="21"/>
  <c r="BE25" i="21" s="1"/>
  <c r="BT25" i="21"/>
  <c r="CN25" i="21"/>
  <c r="DH25" i="21"/>
  <c r="S26" i="21"/>
  <c r="U26" i="21" s="1"/>
  <c r="AK26" i="21"/>
  <c r="AM26" i="21" s="1"/>
  <c r="BC26" i="21"/>
  <c r="BE26" i="21" s="1"/>
  <c r="BT26" i="21"/>
  <c r="CN26" i="21"/>
  <c r="DH26" i="21"/>
  <c r="S27" i="21"/>
  <c r="U27" i="21" s="1"/>
  <c r="AK27" i="21"/>
  <c r="AM27" i="21" s="1"/>
  <c r="BC27" i="21"/>
  <c r="BE27" i="21" s="1"/>
  <c r="BT27" i="21"/>
  <c r="CN27" i="21"/>
  <c r="DH27" i="21"/>
  <c r="S28" i="21"/>
  <c r="U28" i="21" s="1"/>
  <c r="AK28" i="21"/>
  <c r="AM28" i="21" s="1"/>
  <c r="BC28" i="21"/>
  <c r="BE28" i="21" s="1"/>
  <c r="BT28" i="21"/>
  <c r="CN28" i="21"/>
  <c r="S29" i="21"/>
  <c r="U29" i="21"/>
  <c r="AK29" i="21"/>
  <c r="AM29" i="21"/>
  <c r="BC29" i="21"/>
  <c r="BE29" i="21"/>
  <c r="DA29" i="21"/>
  <c r="DC29" i="21" s="1"/>
  <c r="J30" i="21"/>
  <c r="L30" i="21" s="1"/>
  <c r="AB30" i="21"/>
  <c r="AD30" i="21" s="1"/>
  <c r="AT30" i="21"/>
  <c r="AV30" i="21" s="1"/>
  <c r="S31" i="21"/>
  <c r="U31" i="21" s="1"/>
  <c r="AK31" i="21"/>
  <c r="AM31" i="21" s="1"/>
  <c r="BC31" i="21"/>
  <c r="BE31" i="21" s="1"/>
  <c r="J32" i="21"/>
  <c r="L32" i="21"/>
  <c r="AB32" i="21"/>
  <c r="AD32" i="21"/>
  <c r="AT32" i="21"/>
  <c r="AV32" i="21"/>
  <c r="S33" i="21"/>
  <c r="U33" i="21"/>
  <c r="AK33" i="21"/>
  <c r="AM33" i="21"/>
  <c r="BC33" i="21"/>
  <c r="BE33" i="21"/>
  <c r="DI33" i="21"/>
  <c r="DG33" i="21"/>
  <c r="BU34" i="21"/>
  <c r="BS34" i="21"/>
  <c r="CZ34" i="21"/>
  <c r="DA34" i="21" s="1"/>
  <c r="DC34" i="21" s="1"/>
  <c r="CO34" i="21"/>
  <c r="CM34" i="21"/>
  <c r="CF34" i="21"/>
  <c r="BL34" i="21"/>
  <c r="DI34" i="21"/>
  <c r="DG34" i="21"/>
  <c r="DH28" i="21"/>
  <c r="BT29" i="21"/>
  <c r="CN29" i="21"/>
  <c r="CP29" i="21"/>
  <c r="DH29" i="21"/>
  <c r="DJ29" i="21"/>
  <c r="BT30" i="21"/>
  <c r="CN30" i="21"/>
  <c r="CP30" i="21"/>
  <c r="DH30" i="21"/>
  <c r="DJ30" i="21"/>
  <c r="BT31" i="21"/>
  <c r="CN31" i="21"/>
  <c r="CP31" i="21"/>
  <c r="DH31" i="21"/>
  <c r="DJ31" i="21"/>
  <c r="BT32" i="21"/>
  <c r="CN32" i="21"/>
  <c r="CP32" i="21"/>
  <c r="DH32" i="21"/>
  <c r="DJ32" i="21"/>
  <c r="BT33" i="21"/>
  <c r="CN33" i="21"/>
  <c r="CP33" i="21"/>
  <c r="DJ33" i="21"/>
  <c r="L34" i="21"/>
  <c r="AD34" i="21"/>
  <c r="AV34" i="21"/>
  <c r="CP34" i="21"/>
  <c r="DJ34" i="21"/>
  <c r="DG28" i="21"/>
  <c r="BL29" i="21"/>
  <c r="BM29" i="21" s="1"/>
  <c r="BO29" i="21" s="1"/>
  <c r="BS29" i="21"/>
  <c r="CF29" i="21"/>
  <c r="CG29" i="21" s="1"/>
  <c r="CI29" i="21" s="1"/>
  <c r="CM29" i="21"/>
  <c r="CO29" i="21"/>
  <c r="DG29" i="21"/>
  <c r="BL30" i="21"/>
  <c r="BS30" i="21"/>
  <c r="CF30" i="21"/>
  <c r="CG30" i="21" s="1"/>
  <c r="CI30" i="21" s="1"/>
  <c r="CM30" i="21"/>
  <c r="CO30" i="21"/>
  <c r="DG30" i="21"/>
  <c r="BL31" i="21"/>
  <c r="BS31" i="21"/>
  <c r="CF31" i="21"/>
  <c r="CM31" i="21"/>
  <c r="CO31" i="21"/>
  <c r="DG31" i="21"/>
  <c r="BL32" i="21"/>
  <c r="BM32" i="21" s="1"/>
  <c r="BO32" i="21" s="1"/>
  <c r="BS32" i="21"/>
  <c r="CF32" i="21"/>
  <c r="CM32" i="21"/>
  <c r="CO32" i="21"/>
  <c r="DG32" i="21"/>
  <c r="BL33" i="21"/>
  <c r="BS33" i="21"/>
  <c r="CF33" i="21"/>
  <c r="CG33" i="21" s="1"/>
  <c r="CI33" i="21" s="1"/>
  <c r="CM33" i="21"/>
  <c r="CO33" i="21"/>
  <c r="DH33" i="21"/>
  <c r="S34" i="21"/>
  <c r="U34" i="21" s="1"/>
  <c r="AK34" i="21"/>
  <c r="AM34" i="21" s="1"/>
  <c r="BC34" i="21"/>
  <c r="BE34" i="21" s="1"/>
  <c r="BT34" i="21"/>
  <c r="CN34" i="21"/>
  <c r="DH34" i="21"/>
  <c r="S35" i="21"/>
  <c r="U35" i="21" s="1"/>
  <c r="AK35" i="21"/>
  <c r="AM35" i="21" s="1"/>
  <c r="BC35" i="21"/>
  <c r="BE35" i="21" s="1"/>
  <c r="J36" i="21"/>
  <c r="L36" i="21" s="1"/>
  <c r="AB36" i="21"/>
  <c r="AD36" i="21" s="1"/>
  <c r="AT36" i="21"/>
  <c r="AV36" i="21" s="1"/>
  <c r="DK37" i="21"/>
  <c r="DM37" i="21" s="1"/>
  <c r="DI39" i="21"/>
  <c r="DG39" i="21"/>
  <c r="BU40" i="21"/>
  <c r="BS40" i="21"/>
  <c r="CZ40" i="21"/>
  <c r="DA40" i="21" s="1"/>
  <c r="DC40" i="21" s="1"/>
  <c r="CO40" i="21"/>
  <c r="CM40" i="21"/>
  <c r="CF40" i="21"/>
  <c r="BL40" i="21"/>
  <c r="BM40" i="21" s="1"/>
  <c r="BO40" i="21" s="1"/>
  <c r="DI40" i="21"/>
  <c r="DG40" i="21"/>
  <c r="BU41" i="21"/>
  <c r="BS41" i="21"/>
  <c r="CZ41" i="21"/>
  <c r="DA41" i="21" s="1"/>
  <c r="DC41" i="21" s="1"/>
  <c r="CO41" i="21"/>
  <c r="CM41" i="21"/>
  <c r="CF41" i="21"/>
  <c r="CG41" i="21" s="1"/>
  <c r="CI41" i="21" s="1"/>
  <c r="BL41" i="21"/>
  <c r="DI41" i="21"/>
  <c r="DG41" i="21"/>
  <c r="BU42" i="21"/>
  <c r="BS42" i="21"/>
  <c r="CZ42" i="21"/>
  <c r="DA42" i="21" s="1"/>
  <c r="DC42" i="21" s="1"/>
  <c r="CO42" i="21"/>
  <c r="CM42" i="21"/>
  <c r="CF42" i="21"/>
  <c r="BL42" i="21"/>
  <c r="BM42" i="21" s="1"/>
  <c r="BO42" i="21" s="1"/>
  <c r="DI42" i="21"/>
  <c r="DG42" i="21"/>
  <c r="BU43" i="21"/>
  <c r="BS43" i="21"/>
  <c r="CZ43" i="21"/>
  <c r="CO43" i="21"/>
  <c r="CM43" i="21"/>
  <c r="CF43" i="21"/>
  <c r="CG43" i="21" s="1"/>
  <c r="CI43" i="21" s="1"/>
  <c r="BL43" i="21"/>
  <c r="DI43" i="21"/>
  <c r="DG43" i="21"/>
  <c r="BL35" i="21"/>
  <c r="BM35" i="21" s="1"/>
  <c r="BO35" i="21" s="1"/>
  <c r="BS35" i="21"/>
  <c r="BU35" i="21"/>
  <c r="CF35" i="21"/>
  <c r="CG35" i="21" s="1"/>
  <c r="CI35" i="21" s="1"/>
  <c r="CM35" i="21"/>
  <c r="CO35" i="21"/>
  <c r="CZ35" i="21"/>
  <c r="DA35" i="21" s="1"/>
  <c r="DC35" i="21" s="1"/>
  <c r="DG35" i="21"/>
  <c r="DI35" i="21"/>
  <c r="BJ36" i="21"/>
  <c r="BS36" i="21"/>
  <c r="BW36" i="21" s="1"/>
  <c r="BY36" i="21" s="1"/>
  <c r="BU36" i="21"/>
  <c r="CD36" i="21"/>
  <c r="CM36" i="21"/>
  <c r="CO36" i="21"/>
  <c r="CX36" i="21"/>
  <c r="CZ36" i="21"/>
  <c r="DG36" i="21"/>
  <c r="DI36" i="21"/>
  <c r="H37" i="21"/>
  <c r="Q37" i="21"/>
  <c r="Z37" i="21"/>
  <c r="AI37" i="21"/>
  <c r="AR37" i="21"/>
  <c r="BA37" i="21"/>
  <c r="BJ37" i="21"/>
  <c r="CD37" i="21"/>
  <c r="CX37" i="21"/>
  <c r="H38" i="21"/>
  <c r="Q38" i="21"/>
  <c r="Z38" i="21"/>
  <c r="AI38" i="21"/>
  <c r="AR38" i="21"/>
  <c r="BA38" i="21"/>
  <c r="BJ38" i="21"/>
  <c r="CD38" i="21"/>
  <c r="CX38" i="21"/>
  <c r="H39" i="21"/>
  <c r="Q39" i="21"/>
  <c r="Z39" i="21"/>
  <c r="AI39" i="21"/>
  <c r="AR39" i="21"/>
  <c r="BA39" i="21"/>
  <c r="BJ39" i="21"/>
  <c r="CD39" i="21"/>
  <c r="CX39" i="21"/>
  <c r="CP40" i="21"/>
  <c r="DJ40" i="21"/>
  <c r="L41" i="21"/>
  <c r="AD41" i="21"/>
  <c r="AV41" i="21"/>
  <c r="CP41" i="21"/>
  <c r="DJ41" i="21"/>
  <c r="CP42" i="21"/>
  <c r="DJ42" i="21"/>
  <c r="L43" i="21"/>
  <c r="AD43" i="21"/>
  <c r="AV43" i="21"/>
  <c r="CP43" i="21"/>
  <c r="DJ43" i="21"/>
  <c r="U45" i="21"/>
  <c r="AM45" i="21"/>
  <c r="BE45" i="21"/>
  <c r="DA46" i="21"/>
  <c r="DC46" i="21" s="1"/>
  <c r="CN35" i="21"/>
  <c r="CP35" i="21"/>
  <c r="BI36" i="21"/>
  <c r="BM36" i="21" s="1"/>
  <c r="BO36" i="21" s="1"/>
  <c r="CC36" i="21"/>
  <c r="CG36" i="21" s="1"/>
  <c r="CI36" i="21" s="1"/>
  <c r="CN36" i="21"/>
  <c r="CP36" i="21"/>
  <c r="CW36" i="21"/>
  <c r="G37" i="21"/>
  <c r="J37" i="21" s="1"/>
  <c r="L37" i="21" s="1"/>
  <c r="P37" i="21"/>
  <c r="Y37" i="21"/>
  <c r="AB37" i="21" s="1"/>
  <c r="AD37" i="21" s="1"/>
  <c r="AH37" i="21"/>
  <c r="AQ37" i="21"/>
  <c r="AT37" i="21" s="1"/>
  <c r="AV37" i="21" s="1"/>
  <c r="AZ37" i="21"/>
  <c r="BC37" i="21" s="1"/>
  <c r="BE37" i="21" s="1"/>
  <c r="BI37" i="21"/>
  <c r="CC37" i="21"/>
  <c r="CG37" i="21" s="1"/>
  <c r="CI37" i="21" s="1"/>
  <c r="CN37" i="21"/>
  <c r="CQ37" i="21" s="1"/>
  <c r="CS37" i="21" s="1"/>
  <c r="CP37" i="21"/>
  <c r="CW37" i="21"/>
  <c r="DA37" i="21" s="1"/>
  <c r="DC37" i="21" s="1"/>
  <c r="G38" i="21"/>
  <c r="J38" i="21" s="1"/>
  <c r="L38" i="21" s="1"/>
  <c r="P38" i="21"/>
  <c r="S38" i="21" s="1"/>
  <c r="U38" i="21" s="1"/>
  <c r="Y38" i="21"/>
  <c r="AB38" i="21" s="1"/>
  <c r="AD38" i="21" s="1"/>
  <c r="AH38" i="21"/>
  <c r="AK38" i="21" s="1"/>
  <c r="AM38" i="21" s="1"/>
  <c r="AQ38" i="21"/>
  <c r="AT38" i="21" s="1"/>
  <c r="AV38" i="21" s="1"/>
  <c r="AZ38" i="21"/>
  <c r="BC38" i="21" s="1"/>
  <c r="BE38" i="21" s="1"/>
  <c r="BI38" i="21"/>
  <c r="BM38" i="21" s="1"/>
  <c r="BO38" i="21" s="1"/>
  <c r="CC38" i="21"/>
  <c r="CG38" i="21" s="1"/>
  <c r="CI38" i="21" s="1"/>
  <c r="CN38" i="21"/>
  <c r="CP38" i="21"/>
  <c r="CW38" i="21"/>
  <c r="G39" i="21"/>
  <c r="J39" i="21" s="1"/>
  <c r="L39" i="21" s="1"/>
  <c r="P39" i="21"/>
  <c r="S39" i="21" s="1"/>
  <c r="U39" i="21" s="1"/>
  <c r="Y39" i="21"/>
  <c r="AB39" i="21" s="1"/>
  <c r="AD39" i="21" s="1"/>
  <c r="AH39" i="21"/>
  <c r="AK39" i="21" s="1"/>
  <c r="AM39" i="21" s="1"/>
  <c r="AQ39" i="21"/>
  <c r="AT39" i="21" s="1"/>
  <c r="AV39" i="21" s="1"/>
  <c r="AZ39" i="21"/>
  <c r="BC39" i="21" s="1"/>
  <c r="BE39" i="21" s="1"/>
  <c r="BI39" i="21"/>
  <c r="CC39" i="21"/>
  <c r="CN39" i="21"/>
  <c r="CP39" i="21"/>
  <c r="CW39" i="21"/>
  <c r="DA39" i="21" s="1"/>
  <c r="DC39" i="21" s="1"/>
  <c r="DH39" i="21"/>
  <c r="S40" i="21"/>
  <c r="U40" i="21" s="1"/>
  <c r="AK40" i="21"/>
  <c r="AM40" i="21" s="1"/>
  <c r="BC40" i="21"/>
  <c r="BE40" i="21" s="1"/>
  <c r="BT40" i="21"/>
  <c r="CN40" i="21"/>
  <c r="DH40" i="21"/>
  <c r="S41" i="21"/>
  <c r="U41" i="21" s="1"/>
  <c r="AK41" i="21"/>
  <c r="AM41" i="21" s="1"/>
  <c r="BC41" i="21"/>
  <c r="BE41" i="21" s="1"/>
  <c r="BT41" i="21"/>
  <c r="CN41" i="21"/>
  <c r="DH41" i="21"/>
  <c r="S42" i="21"/>
  <c r="U42" i="21" s="1"/>
  <c r="AK42" i="21"/>
  <c r="AM42" i="21" s="1"/>
  <c r="BC42" i="21"/>
  <c r="BE42" i="21" s="1"/>
  <c r="BT42" i="21"/>
  <c r="CN42" i="21"/>
  <c r="DH42" i="21"/>
  <c r="S43" i="21"/>
  <c r="U43" i="21" s="1"/>
  <c r="AK43" i="21"/>
  <c r="AM43" i="21" s="1"/>
  <c r="BC43" i="21"/>
  <c r="BE43" i="21" s="1"/>
  <c r="BT43" i="21"/>
  <c r="CN43" i="21"/>
  <c r="DH43" i="21"/>
  <c r="S44" i="21"/>
  <c r="U44" i="21" s="1"/>
  <c r="AK44" i="21"/>
  <c r="AM44" i="21" s="1"/>
  <c r="BC44" i="21"/>
  <c r="BE44" i="21" s="1"/>
  <c r="J45" i="21"/>
  <c r="L45" i="21" s="1"/>
  <c r="AB45" i="21"/>
  <c r="AD45" i="21" s="1"/>
  <c r="AT45" i="21"/>
  <c r="AV45" i="21" s="1"/>
  <c r="S46" i="21"/>
  <c r="U46" i="21" s="1"/>
  <c r="AK46" i="21"/>
  <c r="AM46" i="21" s="1"/>
  <c r="BC46" i="21"/>
  <c r="BE46" i="21" s="1"/>
  <c r="BT44" i="21"/>
  <c r="CN44" i="21"/>
  <c r="CP44" i="21"/>
  <c r="DH44" i="21"/>
  <c r="DJ44" i="21"/>
  <c r="BT45" i="21"/>
  <c r="CN45" i="21"/>
  <c r="CP45" i="21"/>
  <c r="DH45" i="21"/>
  <c r="DJ45" i="21"/>
  <c r="BT46" i="21"/>
  <c r="CN46" i="21"/>
  <c r="CP46" i="21"/>
  <c r="DH46" i="21"/>
  <c r="DJ46" i="21"/>
  <c r="BL44" i="21"/>
  <c r="BS44" i="21"/>
  <c r="BW44" i="21" s="1"/>
  <c r="BY44" i="21" s="1"/>
  <c r="CF44" i="21"/>
  <c r="CM44" i="21"/>
  <c r="CO44" i="21"/>
  <c r="DG44" i="21"/>
  <c r="DK44" i="21" s="1"/>
  <c r="DM44" i="21" s="1"/>
  <c r="BL45" i="21"/>
  <c r="BS45" i="21"/>
  <c r="BW45" i="21" s="1"/>
  <c r="BY45" i="21" s="1"/>
  <c r="CF45" i="21"/>
  <c r="CM45" i="21"/>
  <c r="CO45" i="21"/>
  <c r="DG45" i="21"/>
  <c r="DK45" i="21" s="1"/>
  <c r="DM45" i="21" s="1"/>
  <c r="BS46" i="21"/>
  <c r="CF46" i="21"/>
  <c r="CG46" i="21" s="1"/>
  <c r="CI46" i="21" s="1"/>
  <c r="CM46" i="21"/>
  <c r="CO46" i="21"/>
  <c r="DG46" i="21"/>
  <c r="DK14" i="21" l="1"/>
  <c r="DM14" i="21" s="1"/>
  <c r="BM37" i="21"/>
  <c r="BO37" i="21" s="1"/>
  <c r="DA16" i="21"/>
  <c r="DC16" i="21" s="1"/>
  <c r="DA23" i="21"/>
  <c r="DC23" i="21" s="1"/>
  <c r="CG44" i="21"/>
  <c r="CI44" i="21" s="1"/>
  <c r="CG39" i="21"/>
  <c r="CI39" i="21" s="1"/>
  <c r="DA38" i="21"/>
  <c r="DC38" i="21" s="1"/>
  <c r="BM43" i="21"/>
  <c r="BO43" i="21" s="1"/>
  <c r="CQ19" i="21"/>
  <c r="CS19" i="21" s="1"/>
  <c r="DA13" i="21"/>
  <c r="DC13" i="21" s="1"/>
  <c r="DK12" i="21"/>
  <c r="DM12" i="21" s="1"/>
  <c r="BM11" i="21"/>
  <c r="BO11" i="21" s="1"/>
  <c r="BW10" i="21"/>
  <c r="BY10" i="21" s="1"/>
  <c r="DA22" i="21"/>
  <c r="DC22" i="21" s="1"/>
  <c r="BM13" i="21"/>
  <c r="BO13" i="21" s="1"/>
  <c r="DA24" i="21"/>
  <c r="DC24" i="21" s="1"/>
  <c r="BM39" i="21"/>
  <c r="BO39" i="21" s="1"/>
  <c r="BM30" i="21"/>
  <c r="BO30" i="21" s="1"/>
  <c r="DA18" i="21"/>
  <c r="DC18" i="21" s="1"/>
  <c r="CG45" i="21"/>
  <c r="CI45" i="21" s="1"/>
  <c r="BM44" i="21"/>
  <c r="BO44" i="21" s="1"/>
  <c r="CG42" i="21"/>
  <c r="CI42" i="21" s="1"/>
  <c r="BM41" i="21"/>
  <c r="BO41" i="21" s="1"/>
  <c r="CG34" i="21"/>
  <c r="CI34" i="21" s="1"/>
  <c r="BM19" i="21"/>
  <c r="BO19" i="21" s="1"/>
  <c r="CG16" i="21"/>
  <c r="CI16" i="21" s="1"/>
  <c r="DA11" i="21"/>
  <c r="DC11" i="21" s="1"/>
  <c r="DK10" i="21"/>
  <c r="DM10" i="21" s="1"/>
  <c r="BM24" i="21"/>
  <c r="BO24" i="21" s="1"/>
  <c r="CQ9" i="21"/>
  <c r="CS9" i="21" s="1"/>
  <c r="BM33" i="21"/>
  <c r="BO33" i="21" s="1"/>
  <c r="CG31" i="21"/>
  <c r="CI31" i="21" s="1"/>
  <c r="BM25" i="21"/>
  <c r="BO25" i="21" s="1"/>
  <c r="CG32" i="21"/>
  <c r="CI32" i="21" s="1"/>
  <c r="BM31" i="21"/>
  <c r="BO31" i="21" s="1"/>
  <c r="BM16" i="21"/>
  <c r="BO16" i="21" s="1"/>
  <c r="DK16" i="21"/>
  <c r="DM16" i="21" s="1"/>
  <c r="CG13" i="21"/>
  <c r="CI13" i="21" s="1"/>
  <c r="DA27" i="21"/>
  <c r="DC27" i="21" s="1"/>
  <c r="CG24" i="21"/>
  <c r="CI24" i="21" s="1"/>
  <c r="BM23" i="21"/>
  <c r="BO23" i="21" s="1"/>
  <c r="BW38" i="21"/>
  <c r="BY38" i="21" s="1"/>
  <c r="CQ17" i="21"/>
  <c r="CS17" i="21" s="1"/>
  <c r="BW12" i="21"/>
  <c r="BY12" i="21" s="1"/>
  <c r="CQ39" i="21"/>
  <c r="CS39" i="21" s="1"/>
  <c r="BM34" i="21"/>
  <c r="BO34" i="21" s="1"/>
  <c r="DA21" i="21"/>
  <c r="DC21" i="21" s="1"/>
  <c r="BM45" i="21"/>
  <c r="BO45" i="21" s="1"/>
  <c r="DA43" i="21"/>
  <c r="DC43" i="21" s="1"/>
  <c r="CG40" i="21"/>
  <c r="CI40" i="21" s="1"/>
  <c r="BW32" i="21"/>
  <c r="BY32" i="21" s="1"/>
  <c r="DA17" i="21"/>
  <c r="DC17" i="21" s="1"/>
  <c r="BM15" i="21"/>
  <c r="BO15" i="21" s="1"/>
  <c r="BW14" i="21"/>
  <c r="BY14" i="21" s="1"/>
  <c r="CG12" i="21"/>
  <c r="CI12" i="21" s="1"/>
  <c r="DA26" i="21"/>
  <c r="DC26" i="21" s="1"/>
  <c r="CG23" i="21"/>
  <c r="CI23" i="21" s="1"/>
  <c r="AE3" i="24"/>
  <c r="I38" i="22"/>
  <c r="I39" i="22" s="1"/>
  <c r="I25" i="24"/>
  <c r="X30" i="24" s="1"/>
  <c r="DK46" i="21"/>
  <c r="DM46" i="21" s="1"/>
  <c r="CQ46" i="21"/>
  <c r="CS46" i="21" s="1"/>
  <c r="BW46" i="21"/>
  <c r="BY46" i="21" s="1"/>
  <c r="CQ38" i="21"/>
  <c r="CS38" i="21" s="1"/>
  <c r="AK37" i="21"/>
  <c r="AM37" i="21" s="1"/>
  <c r="S37" i="21"/>
  <c r="U37" i="21" s="1"/>
  <c r="DA36" i="21"/>
  <c r="DC36" i="21" s="1"/>
  <c r="DK36" i="21"/>
  <c r="DM36" i="21" s="1"/>
  <c r="BW33" i="21"/>
  <c r="BY33" i="21" s="1"/>
  <c r="DK32" i="21"/>
  <c r="DM32" i="21" s="1"/>
  <c r="DK31" i="21"/>
  <c r="DM31" i="21" s="1"/>
  <c r="BW31" i="21"/>
  <c r="BY31" i="21" s="1"/>
  <c r="DK30" i="21"/>
  <c r="DM30" i="21" s="1"/>
  <c r="BW29" i="21"/>
  <c r="BY29" i="21" s="1"/>
  <c r="CQ20" i="21"/>
  <c r="CS20" i="21" s="1"/>
  <c r="CQ18" i="21"/>
  <c r="CS18" i="21" s="1"/>
  <c r="CQ16" i="21"/>
  <c r="CS16" i="21" s="1"/>
  <c r="BW39" i="21"/>
  <c r="BY39" i="21" s="1"/>
  <c r="BC36" i="21"/>
  <c r="BE36" i="21" s="1"/>
  <c r="AK36" i="21"/>
  <c r="AM36" i="21" s="1"/>
  <c r="S36" i="21"/>
  <c r="U36" i="21" s="1"/>
  <c r="AT28" i="21"/>
  <c r="AV28" i="21" s="1"/>
  <c r="AB28" i="21"/>
  <c r="AD28" i="21" s="1"/>
  <c r="AT26" i="21"/>
  <c r="AV26" i="21" s="1"/>
  <c r="AB26" i="21"/>
  <c r="AD26" i="21" s="1"/>
  <c r="J26" i="21"/>
  <c r="L26" i="21" s="1"/>
  <c r="AT24" i="21"/>
  <c r="AV24" i="21" s="1"/>
  <c r="AB24" i="21"/>
  <c r="AD24" i="21" s="1"/>
  <c r="J24" i="21"/>
  <c r="L24" i="21" s="1"/>
  <c r="AT22" i="21"/>
  <c r="AV22" i="21" s="1"/>
  <c r="AB22" i="21"/>
  <c r="AD22" i="21" s="1"/>
  <c r="J22" i="21"/>
  <c r="L22" i="21" s="1"/>
  <c r="BW16" i="21"/>
  <c r="BY16" i="21" s="1"/>
  <c r="S16" i="21"/>
  <c r="U16" i="21" s="1"/>
  <c r="BW37" i="21"/>
  <c r="BY37" i="21" s="1"/>
  <c r="BC32" i="21"/>
  <c r="BE32" i="21" s="1"/>
  <c r="AK32" i="21"/>
  <c r="AM32" i="21" s="1"/>
  <c r="S32" i="21"/>
  <c r="U32" i="21" s="1"/>
  <c r="BC30" i="21"/>
  <c r="BE30" i="21" s="1"/>
  <c r="AK30" i="21"/>
  <c r="AM30" i="21" s="1"/>
  <c r="S30" i="21"/>
  <c r="U30" i="21" s="1"/>
  <c r="BW20" i="21"/>
  <c r="BY20" i="21" s="1"/>
  <c r="BW18" i="21"/>
  <c r="BY18" i="21" s="1"/>
  <c r="DA20" i="21"/>
  <c r="DC20" i="21" s="1"/>
  <c r="BW19" i="21"/>
  <c r="BY19" i="21" s="1"/>
  <c r="BW17" i="21"/>
  <c r="BY17" i="21" s="1"/>
  <c r="BC14" i="21"/>
  <c r="BE14" i="21" s="1"/>
  <c r="Z29" i="24"/>
  <c r="AA29" i="24" s="1"/>
  <c r="AA32" i="24"/>
  <c r="AA28" i="24"/>
  <c r="I25" i="23"/>
  <c r="X30" i="23" s="1"/>
  <c r="S40" i="22"/>
  <c r="Q40" i="22"/>
  <c r="Z29" i="23"/>
  <c r="AA29" i="23" s="1"/>
  <c r="AA28" i="23"/>
  <c r="R111" i="9"/>
  <c r="S111" i="9" s="1"/>
  <c r="Q13" i="20" s="1"/>
  <c r="B24" i="20" s="1"/>
  <c r="CQ36" i="21"/>
  <c r="CS36" i="21" s="1"/>
  <c r="DK35" i="21"/>
  <c r="DM35" i="21" s="1"/>
  <c r="BW35" i="21"/>
  <c r="BY35" i="21" s="1"/>
  <c r="DK43" i="21"/>
  <c r="DM43" i="21" s="1"/>
  <c r="CQ43" i="21"/>
  <c r="CS43" i="21" s="1"/>
  <c r="BW42" i="21"/>
  <c r="BY42" i="21" s="1"/>
  <c r="DK41" i="21"/>
  <c r="DM41" i="21" s="1"/>
  <c r="CQ41" i="21"/>
  <c r="CS41" i="21" s="1"/>
  <c r="BW40" i="21"/>
  <c r="BY40" i="21" s="1"/>
  <c r="DK39" i="21"/>
  <c r="DM39" i="21" s="1"/>
  <c r="CQ33" i="21"/>
  <c r="CS33" i="21" s="1"/>
  <c r="CQ32" i="21"/>
  <c r="CS32" i="21" s="1"/>
  <c r="CQ31" i="21"/>
  <c r="CS31" i="21" s="1"/>
  <c r="CQ30" i="21"/>
  <c r="CS30" i="21" s="1"/>
  <c r="BW30" i="21"/>
  <c r="BY30" i="21" s="1"/>
  <c r="DK29" i="21"/>
  <c r="DM29" i="21" s="1"/>
  <c r="CQ29" i="21"/>
  <c r="CS29" i="21" s="1"/>
  <c r="DK28" i="21"/>
  <c r="DM28" i="21" s="1"/>
  <c r="DK34" i="21"/>
  <c r="DM34" i="21" s="1"/>
  <c r="CQ34" i="21"/>
  <c r="CS34" i="21" s="1"/>
  <c r="DK15" i="21"/>
  <c r="DM15" i="21" s="1"/>
  <c r="BW15" i="21"/>
  <c r="BY15" i="21" s="1"/>
  <c r="CQ14" i="21"/>
  <c r="CS14" i="21" s="1"/>
  <c r="DK13" i="21"/>
  <c r="DM13" i="21" s="1"/>
  <c r="BW13" i="21"/>
  <c r="BY13" i="21" s="1"/>
  <c r="CQ12" i="21"/>
  <c r="CS12" i="21" s="1"/>
  <c r="DK11" i="21"/>
  <c r="DM11" i="21" s="1"/>
  <c r="BW11" i="21"/>
  <c r="BY11" i="21" s="1"/>
  <c r="CQ10" i="21"/>
  <c r="CS10" i="21" s="1"/>
  <c r="DK9" i="21"/>
  <c r="DM9" i="21" s="1"/>
  <c r="BW9" i="21"/>
  <c r="BY9" i="21" s="1"/>
  <c r="BW28" i="21"/>
  <c r="BY28" i="21" s="1"/>
  <c r="DK27" i="21"/>
  <c r="DM27" i="21" s="1"/>
  <c r="CQ27" i="21"/>
  <c r="CS27" i="21" s="1"/>
  <c r="BW26" i="21"/>
  <c r="BY26" i="21" s="1"/>
  <c r="DK25" i="21"/>
  <c r="DM25" i="21" s="1"/>
  <c r="CQ25" i="21"/>
  <c r="CS25" i="21" s="1"/>
  <c r="BW24" i="21"/>
  <c r="BY24" i="21" s="1"/>
  <c r="DK23" i="21"/>
  <c r="DM23" i="21" s="1"/>
  <c r="CQ23" i="21"/>
  <c r="CS23" i="21" s="1"/>
  <c r="BW22" i="21"/>
  <c r="BY22" i="21" s="1"/>
  <c r="DK21" i="21"/>
  <c r="DM21" i="21" s="1"/>
  <c r="CQ21" i="21"/>
  <c r="CS21" i="21" s="1"/>
  <c r="CQ45" i="21"/>
  <c r="CS45" i="21" s="1"/>
  <c r="CQ44" i="21"/>
  <c r="CS44" i="21" s="1"/>
  <c r="CQ35" i="21"/>
  <c r="CS35" i="21" s="1"/>
  <c r="BW43" i="21"/>
  <c r="BY43" i="21" s="1"/>
  <c r="DK42" i="21"/>
  <c r="DM42" i="21" s="1"/>
  <c r="CQ42" i="21"/>
  <c r="CS42" i="21" s="1"/>
  <c r="BW41" i="21"/>
  <c r="BY41" i="21" s="1"/>
  <c r="DK40" i="21"/>
  <c r="DM40" i="21" s="1"/>
  <c r="CQ40" i="21"/>
  <c r="CS40" i="21" s="1"/>
  <c r="BW34" i="21"/>
  <c r="BY34" i="21" s="1"/>
  <c r="DK33" i="21"/>
  <c r="DM33" i="21" s="1"/>
  <c r="CQ15" i="21"/>
  <c r="CS15" i="21" s="1"/>
  <c r="CQ13" i="21"/>
  <c r="CS13" i="21" s="1"/>
  <c r="CQ11" i="21"/>
  <c r="CS11" i="21" s="1"/>
  <c r="CQ28" i="21"/>
  <c r="CS28" i="21" s="1"/>
  <c r="BW27" i="21"/>
  <c r="BY27" i="21" s="1"/>
  <c r="DK26" i="21"/>
  <c r="DM26" i="21" s="1"/>
  <c r="CQ26" i="21"/>
  <c r="CS26" i="21" s="1"/>
  <c r="BW25" i="21"/>
  <c r="BY25" i="21" s="1"/>
  <c r="DK24" i="21"/>
  <c r="DM24" i="21" s="1"/>
  <c r="CQ24" i="21"/>
  <c r="CS24" i="21" s="1"/>
  <c r="BW23" i="21"/>
  <c r="BY23" i="21" s="1"/>
  <c r="DK22" i="21"/>
  <c r="DM22" i="21" s="1"/>
  <c r="CQ22" i="21"/>
  <c r="CS22" i="21" s="1"/>
  <c r="BW21" i="21"/>
  <c r="BY21" i="21" s="1"/>
  <c r="DK20" i="21"/>
  <c r="DM20" i="21" s="1"/>
  <c r="AE5" i="23" l="1"/>
  <c r="Y8" i="23"/>
  <c r="AF8" i="23"/>
  <c r="AE5" i="24"/>
  <c r="AF8" i="24" s="1"/>
  <c r="Y8" i="24"/>
  <c r="AA32" i="23"/>
  <c r="AA30" i="24"/>
  <c r="I26" i="24"/>
  <c r="X25" i="24"/>
  <c r="R39" i="24" s="1"/>
  <c r="AA30" i="23"/>
  <c r="I26" i="23"/>
  <c r="CA34" i="9"/>
  <c r="CA33" i="9"/>
  <c r="CP38" i="9" s="1"/>
  <c r="W12" i="19"/>
  <c r="W13" i="19"/>
  <c r="W14" i="19"/>
  <c r="W15" i="19"/>
  <c r="W16" i="19"/>
  <c r="W17" i="19"/>
  <c r="W18" i="19"/>
  <c r="W19" i="19"/>
  <c r="W20" i="19"/>
  <c r="W21" i="19"/>
  <c r="W22" i="19"/>
  <c r="W23" i="19"/>
  <c r="W24" i="19"/>
  <c r="W25" i="19"/>
  <c r="W26" i="19"/>
  <c r="W27" i="19"/>
  <c r="W28" i="19"/>
  <c r="W29" i="19"/>
  <c r="W30" i="19"/>
  <c r="W31" i="19"/>
  <c r="W32" i="19"/>
  <c r="W33" i="19"/>
  <c r="W34" i="19"/>
  <c r="W35" i="19"/>
  <c r="W36" i="19"/>
  <c r="W37" i="19"/>
  <c r="W38" i="19"/>
  <c r="W39" i="19"/>
  <c r="W40" i="19"/>
  <c r="W41" i="19"/>
  <c r="W42" i="19"/>
  <c r="W43" i="19"/>
  <c r="W44" i="19"/>
  <c r="W45" i="19"/>
  <c r="W46" i="19"/>
  <c r="W47" i="19"/>
  <c r="W48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AI11" i="19"/>
  <c r="AJ11" i="19"/>
  <c r="X12" i="19"/>
  <c r="Y12" i="19"/>
  <c r="Z12" i="19"/>
  <c r="AA12" i="19"/>
  <c r="AB12" i="19"/>
  <c r="AC12" i="19"/>
  <c r="AD12" i="19"/>
  <c r="AE12" i="19"/>
  <c r="AF12" i="19"/>
  <c r="AG12" i="19"/>
  <c r="AH12" i="19"/>
  <c r="AI12" i="19"/>
  <c r="AJ12" i="19"/>
  <c r="X13" i="19"/>
  <c r="Y13" i="19"/>
  <c r="Z13" i="19"/>
  <c r="AA13" i="19"/>
  <c r="AB13" i="19"/>
  <c r="AC13" i="19"/>
  <c r="AD13" i="19"/>
  <c r="AE13" i="19"/>
  <c r="AF13" i="19"/>
  <c r="AG13" i="19"/>
  <c r="AH13" i="19"/>
  <c r="AI13" i="19"/>
  <c r="AJ13" i="19"/>
  <c r="X14" i="19"/>
  <c r="Y14" i="19"/>
  <c r="Z14" i="19"/>
  <c r="AA14" i="19"/>
  <c r="AB14" i="19"/>
  <c r="AC14" i="19"/>
  <c r="AD14" i="19"/>
  <c r="AE14" i="19"/>
  <c r="AF14" i="19"/>
  <c r="AG14" i="19"/>
  <c r="AH14" i="19"/>
  <c r="AI14" i="19"/>
  <c r="AJ14" i="19"/>
  <c r="X15" i="19"/>
  <c r="Y15" i="19"/>
  <c r="Z15" i="19"/>
  <c r="AA15" i="19"/>
  <c r="AB15" i="19"/>
  <c r="AC15" i="19"/>
  <c r="AD15" i="19"/>
  <c r="AE15" i="19"/>
  <c r="AF15" i="19"/>
  <c r="AG15" i="19"/>
  <c r="AH15" i="19"/>
  <c r="AI15" i="19"/>
  <c r="AJ15" i="19"/>
  <c r="X16" i="19"/>
  <c r="Y16" i="19"/>
  <c r="Z16" i="19"/>
  <c r="AA16" i="19"/>
  <c r="AB16" i="19"/>
  <c r="AC16" i="19"/>
  <c r="AD16" i="19"/>
  <c r="AE16" i="19"/>
  <c r="AF16" i="19"/>
  <c r="AG16" i="19"/>
  <c r="AH16" i="19"/>
  <c r="AI16" i="19"/>
  <c r="AJ16" i="19"/>
  <c r="X17" i="19"/>
  <c r="Y17" i="19"/>
  <c r="Z17" i="19"/>
  <c r="AA17" i="19"/>
  <c r="AB17" i="19"/>
  <c r="AC17" i="19"/>
  <c r="AD17" i="19"/>
  <c r="AE17" i="19"/>
  <c r="AF17" i="19"/>
  <c r="AG17" i="19"/>
  <c r="AH17" i="19"/>
  <c r="AI17" i="19"/>
  <c r="AJ17" i="19"/>
  <c r="X18" i="19"/>
  <c r="Y18" i="19"/>
  <c r="Z18" i="19"/>
  <c r="AA18" i="19"/>
  <c r="AB18" i="19"/>
  <c r="AC18" i="19"/>
  <c r="AD18" i="19"/>
  <c r="AE18" i="19"/>
  <c r="AF18" i="19"/>
  <c r="AG18" i="19"/>
  <c r="AH18" i="19"/>
  <c r="AI18" i="19"/>
  <c r="AJ18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X20" i="19"/>
  <c r="Y20" i="19"/>
  <c r="Z20" i="19"/>
  <c r="AA20" i="19"/>
  <c r="AB20" i="19"/>
  <c r="AC20" i="19"/>
  <c r="AD20" i="19"/>
  <c r="AE20" i="19"/>
  <c r="AF20" i="19"/>
  <c r="AG20" i="19"/>
  <c r="AH20" i="19"/>
  <c r="AI20" i="19"/>
  <c r="AJ20" i="19"/>
  <c r="X21" i="19"/>
  <c r="Y21" i="19"/>
  <c r="Z21" i="19"/>
  <c r="AA21" i="19"/>
  <c r="AB21" i="19"/>
  <c r="AC21" i="19"/>
  <c r="AD21" i="19"/>
  <c r="AE21" i="19"/>
  <c r="AF21" i="19"/>
  <c r="AG21" i="19"/>
  <c r="AH21" i="19"/>
  <c r="AI21" i="19"/>
  <c r="AJ21" i="19"/>
  <c r="X22" i="19"/>
  <c r="Y22" i="19"/>
  <c r="Z22" i="19"/>
  <c r="AA22" i="19"/>
  <c r="AB22" i="19"/>
  <c r="AC22" i="19"/>
  <c r="AD22" i="19"/>
  <c r="AE22" i="19"/>
  <c r="AF22" i="19"/>
  <c r="AG22" i="19"/>
  <c r="AH22" i="19"/>
  <c r="AI22" i="19"/>
  <c r="AJ22" i="19"/>
  <c r="X23" i="19"/>
  <c r="Y23" i="19"/>
  <c r="Z23" i="19"/>
  <c r="AA23" i="19"/>
  <c r="AB23" i="19"/>
  <c r="AC23" i="19"/>
  <c r="AD23" i="19"/>
  <c r="AE23" i="19"/>
  <c r="AF23" i="19"/>
  <c r="AG23" i="19"/>
  <c r="AH23" i="19"/>
  <c r="AI23" i="19"/>
  <c r="AJ23" i="19"/>
  <c r="X24" i="19"/>
  <c r="Y24" i="19"/>
  <c r="Z24" i="19"/>
  <c r="AA24" i="19"/>
  <c r="AB24" i="19"/>
  <c r="AC24" i="19"/>
  <c r="AD24" i="19"/>
  <c r="AE24" i="19"/>
  <c r="AF24" i="19"/>
  <c r="AG24" i="19"/>
  <c r="AH24" i="19"/>
  <c r="AI24" i="19"/>
  <c r="AJ24" i="19"/>
  <c r="X25" i="19"/>
  <c r="Y25" i="19"/>
  <c r="Z25" i="19"/>
  <c r="AA25" i="19"/>
  <c r="AB25" i="19"/>
  <c r="AC25" i="19"/>
  <c r="AD25" i="19"/>
  <c r="AE25" i="19"/>
  <c r="AF25" i="19"/>
  <c r="AG25" i="19"/>
  <c r="AH25" i="19"/>
  <c r="AI25" i="19"/>
  <c r="AJ25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X27" i="19"/>
  <c r="Y27" i="19"/>
  <c r="Z27" i="19"/>
  <c r="AA27" i="19"/>
  <c r="AB27" i="19"/>
  <c r="AC27" i="19"/>
  <c r="AD27" i="19"/>
  <c r="AE27" i="19"/>
  <c r="AF27" i="19"/>
  <c r="AG27" i="19"/>
  <c r="AH27" i="19"/>
  <c r="AI27" i="19"/>
  <c r="AJ27" i="19"/>
  <c r="X28" i="19"/>
  <c r="Y28" i="19"/>
  <c r="Z28" i="19"/>
  <c r="AA28" i="19"/>
  <c r="AB28" i="19"/>
  <c r="AC28" i="19"/>
  <c r="AD28" i="19"/>
  <c r="AE28" i="19"/>
  <c r="AF28" i="19"/>
  <c r="AG28" i="19"/>
  <c r="AH28" i="19"/>
  <c r="AI28" i="19"/>
  <c r="AJ28" i="19"/>
  <c r="X29" i="19"/>
  <c r="Y29" i="19"/>
  <c r="Z29" i="19"/>
  <c r="AA29" i="19"/>
  <c r="AB29" i="19"/>
  <c r="AC29" i="19"/>
  <c r="AD29" i="19"/>
  <c r="AE29" i="19"/>
  <c r="AF29" i="19"/>
  <c r="AG29" i="19"/>
  <c r="AH29" i="19"/>
  <c r="AI29" i="19"/>
  <c r="AJ29" i="19"/>
  <c r="X30" i="19"/>
  <c r="Y30" i="19"/>
  <c r="Z30" i="19"/>
  <c r="AA30" i="19"/>
  <c r="AB30" i="19"/>
  <c r="AC30" i="19"/>
  <c r="AD30" i="19"/>
  <c r="AE30" i="19"/>
  <c r="AF30" i="19"/>
  <c r="AG30" i="19"/>
  <c r="AH30" i="19"/>
  <c r="AI30" i="19"/>
  <c r="AJ30" i="19"/>
  <c r="X31" i="19"/>
  <c r="Y31" i="19"/>
  <c r="Z31" i="19"/>
  <c r="AA31" i="19"/>
  <c r="AB31" i="19"/>
  <c r="AC31" i="19"/>
  <c r="AD31" i="19"/>
  <c r="AE31" i="19"/>
  <c r="AF31" i="19"/>
  <c r="AG31" i="19"/>
  <c r="AH31" i="19"/>
  <c r="AI31" i="19"/>
  <c r="AJ31" i="19"/>
  <c r="X32" i="19"/>
  <c r="Y32" i="19"/>
  <c r="Z32" i="19"/>
  <c r="AA32" i="19"/>
  <c r="AB32" i="19"/>
  <c r="AC32" i="19"/>
  <c r="AD32" i="19"/>
  <c r="AE32" i="19"/>
  <c r="AF32" i="19"/>
  <c r="AG32" i="19"/>
  <c r="AH32" i="19"/>
  <c r="AI32" i="19"/>
  <c r="AJ32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X34" i="19"/>
  <c r="Y34" i="19"/>
  <c r="Z34" i="19"/>
  <c r="AA34" i="19"/>
  <c r="AB34" i="19"/>
  <c r="AC34" i="19"/>
  <c r="AD34" i="19"/>
  <c r="AE34" i="19"/>
  <c r="AF34" i="19"/>
  <c r="AG34" i="19"/>
  <c r="AH34" i="19"/>
  <c r="AI34" i="19"/>
  <c r="AJ34" i="19"/>
  <c r="X35" i="19"/>
  <c r="Y35" i="19"/>
  <c r="Z35" i="19"/>
  <c r="AA35" i="19"/>
  <c r="AB35" i="19"/>
  <c r="AC35" i="19"/>
  <c r="AD35" i="19"/>
  <c r="AE35" i="19"/>
  <c r="AF35" i="19"/>
  <c r="AG35" i="19"/>
  <c r="AH35" i="19"/>
  <c r="AI35" i="19"/>
  <c r="AJ35" i="19"/>
  <c r="X36" i="19"/>
  <c r="Y36" i="19"/>
  <c r="Z36" i="19"/>
  <c r="AA36" i="19"/>
  <c r="AB36" i="19"/>
  <c r="AC36" i="19"/>
  <c r="AD36" i="19"/>
  <c r="AE36" i="19"/>
  <c r="AF36" i="19"/>
  <c r="AG36" i="19"/>
  <c r="AH36" i="19"/>
  <c r="AI36" i="19"/>
  <c r="AJ36" i="19"/>
  <c r="X37" i="19"/>
  <c r="Y37" i="19"/>
  <c r="Z37" i="19"/>
  <c r="AA37" i="19"/>
  <c r="AB37" i="19"/>
  <c r="AC37" i="19"/>
  <c r="AD37" i="19"/>
  <c r="AE37" i="19"/>
  <c r="AF37" i="19"/>
  <c r="AG37" i="19"/>
  <c r="AH37" i="19"/>
  <c r="AI37" i="19"/>
  <c r="AJ37" i="19"/>
  <c r="X38" i="19"/>
  <c r="Y38" i="19"/>
  <c r="Z38" i="19"/>
  <c r="AA38" i="19"/>
  <c r="AB38" i="19"/>
  <c r="AC38" i="19"/>
  <c r="AD38" i="19"/>
  <c r="AE38" i="19"/>
  <c r="AF38" i="19"/>
  <c r="AG38" i="19"/>
  <c r="AH38" i="19"/>
  <c r="AI38" i="19"/>
  <c r="AJ38" i="19"/>
  <c r="X39" i="19"/>
  <c r="Y39" i="19"/>
  <c r="Z39" i="19"/>
  <c r="AA39" i="19"/>
  <c r="AB39" i="19"/>
  <c r="AC39" i="19"/>
  <c r="AD39" i="19"/>
  <c r="AE39" i="19"/>
  <c r="AF39" i="19"/>
  <c r="AG39" i="19"/>
  <c r="AH39" i="19"/>
  <c r="AI39" i="19"/>
  <c r="AJ39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X41" i="19"/>
  <c r="Y41" i="19"/>
  <c r="Z41" i="19"/>
  <c r="AA41" i="19"/>
  <c r="AB41" i="19"/>
  <c r="AC41" i="19"/>
  <c r="AD41" i="19"/>
  <c r="AE41" i="19"/>
  <c r="AF41" i="19"/>
  <c r="AG41" i="19"/>
  <c r="AH41" i="19"/>
  <c r="AI41" i="19"/>
  <c r="AJ41" i="19"/>
  <c r="X42" i="19"/>
  <c r="Y42" i="19"/>
  <c r="Z42" i="19"/>
  <c r="AA42" i="19"/>
  <c r="AB42" i="19"/>
  <c r="AC42" i="19"/>
  <c r="AD42" i="19"/>
  <c r="AE42" i="19"/>
  <c r="AF42" i="19"/>
  <c r="AG42" i="19"/>
  <c r="AH42" i="19"/>
  <c r="AI42" i="19"/>
  <c r="AJ42" i="19"/>
  <c r="X43" i="19"/>
  <c r="Y43" i="19"/>
  <c r="Z43" i="19"/>
  <c r="AA43" i="19"/>
  <c r="AB43" i="19"/>
  <c r="AC43" i="19"/>
  <c r="AD43" i="19"/>
  <c r="AE43" i="19"/>
  <c r="AF43" i="19"/>
  <c r="AG43" i="19"/>
  <c r="AH43" i="19"/>
  <c r="AI43" i="19"/>
  <c r="AJ43" i="19"/>
  <c r="X44" i="19"/>
  <c r="Y44" i="19"/>
  <c r="Z44" i="19"/>
  <c r="AA44" i="19"/>
  <c r="AB44" i="19"/>
  <c r="AC44" i="19"/>
  <c r="AD44" i="19"/>
  <c r="AE44" i="19"/>
  <c r="AF44" i="19"/>
  <c r="AG44" i="19"/>
  <c r="AH44" i="19"/>
  <c r="AI44" i="19"/>
  <c r="AJ44" i="19"/>
  <c r="X45" i="19"/>
  <c r="Y45" i="19"/>
  <c r="Z45" i="19"/>
  <c r="AA45" i="19"/>
  <c r="AB45" i="19"/>
  <c r="AC45" i="19"/>
  <c r="AD45" i="19"/>
  <c r="AE45" i="19"/>
  <c r="AF45" i="19"/>
  <c r="AG45" i="19"/>
  <c r="AH45" i="19"/>
  <c r="AI45" i="19"/>
  <c r="AJ45" i="19"/>
  <c r="X46" i="19"/>
  <c r="Y46" i="19"/>
  <c r="Z46" i="19"/>
  <c r="AA46" i="19"/>
  <c r="AB46" i="19"/>
  <c r="AC46" i="19"/>
  <c r="AD46" i="19"/>
  <c r="AE46" i="19"/>
  <c r="AF46" i="19"/>
  <c r="AG46" i="19"/>
  <c r="AH46" i="19"/>
  <c r="AI46" i="19"/>
  <c r="AJ46" i="19"/>
  <c r="X47" i="19"/>
  <c r="Y47" i="19"/>
  <c r="Z47" i="19"/>
  <c r="AA47" i="19"/>
  <c r="AB47" i="19"/>
  <c r="AC47" i="19"/>
  <c r="AD47" i="19"/>
  <c r="AE47" i="19"/>
  <c r="AF47" i="19"/>
  <c r="AG47" i="19"/>
  <c r="AH47" i="19"/>
  <c r="AI47" i="19"/>
  <c r="AJ47" i="19"/>
  <c r="X48" i="19"/>
  <c r="Y48" i="19"/>
  <c r="Z48" i="19"/>
  <c r="AA48" i="19"/>
  <c r="AB48" i="19"/>
  <c r="AC48" i="19"/>
  <c r="AD48" i="19"/>
  <c r="AE48" i="19"/>
  <c r="AF48" i="19"/>
  <c r="AG48" i="19"/>
  <c r="AH48" i="19"/>
  <c r="AI48" i="19"/>
  <c r="AJ48" i="19"/>
  <c r="BY34" i="9"/>
  <c r="BY35" i="9"/>
  <c r="BY33" i="9"/>
  <c r="CN38" i="9" s="1"/>
  <c r="BV35" i="9"/>
  <c r="BV36" i="9"/>
  <c r="BV37" i="9"/>
  <c r="BV38" i="9"/>
  <c r="BV39" i="9"/>
  <c r="BV40" i="9"/>
  <c r="BV41" i="9"/>
  <c r="BV42" i="9"/>
  <c r="BV34" i="9"/>
  <c r="AJ49" i="19"/>
  <c r="H26" i="20"/>
  <c r="P47" i="18"/>
  <c r="F32" i="9"/>
  <c r="F29" i="9"/>
  <c r="E27" i="9"/>
  <c r="F26" i="9"/>
  <c r="G22" i="9"/>
  <c r="E22" i="9"/>
  <c r="V78" i="9"/>
  <c r="AQ7" i="9"/>
  <c r="AV8" i="9"/>
  <c r="AU8" i="9"/>
  <c r="AT8" i="9"/>
  <c r="AS8" i="9"/>
  <c r="AR8" i="9"/>
  <c r="AQ8" i="9"/>
  <c r="M5" i="9"/>
  <c r="D7" i="19" s="1"/>
  <c r="C5" i="9"/>
  <c r="C20" i="20" s="1"/>
  <c r="F4" i="9"/>
  <c r="P4" i="9" s="1"/>
  <c r="G6" i="19" s="1"/>
  <c r="F2" i="9"/>
  <c r="P2" i="9" s="1"/>
  <c r="G4" i="19" s="1"/>
  <c r="F3" i="9"/>
  <c r="P3" i="9" s="1"/>
  <c r="G5" i="19" s="1"/>
  <c r="T11" i="3"/>
  <c r="AN11" i="3" s="1"/>
  <c r="S11" i="3"/>
  <c r="T12" i="3"/>
  <c r="S12" i="3"/>
  <c r="W12" i="3" s="1"/>
  <c r="T13" i="3"/>
  <c r="T14" i="3"/>
  <c r="S14" i="3" s="1"/>
  <c r="T15" i="3"/>
  <c r="S15" i="3"/>
  <c r="W15" i="3" s="1"/>
  <c r="T16" i="3"/>
  <c r="S16" i="3" s="1"/>
  <c r="T17" i="3"/>
  <c r="S17" i="3" s="1"/>
  <c r="X17" i="3" s="1"/>
  <c r="T18" i="3"/>
  <c r="T19" i="3"/>
  <c r="S19" i="3" s="1"/>
  <c r="T20" i="3"/>
  <c r="S20" i="3" s="1"/>
  <c r="T21" i="3"/>
  <c r="S21" i="3" s="1"/>
  <c r="T22" i="3"/>
  <c r="S22" i="3" s="1"/>
  <c r="W22" i="3" s="1"/>
  <c r="T23" i="3"/>
  <c r="T24" i="3"/>
  <c r="S24" i="3" s="1"/>
  <c r="T25" i="3"/>
  <c r="S25" i="3" s="1"/>
  <c r="X25" i="3" s="1"/>
  <c r="T26" i="3"/>
  <c r="T27" i="3"/>
  <c r="S27" i="3" s="1"/>
  <c r="T28" i="3"/>
  <c r="S28" i="3" s="1"/>
  <c r="T29" i="3"/>
  <c r="S29" i="3" s="1"/>
  <c r="T30" i="3"/>
  <c r="S30" i="3" s="1"/>
  <c r="W30" i="3" s="1"/>
  <c r="T31" i="3"/>
  <c r="T32" i="3"/>
  <c r="S32" i="3" s="1"/>
  <c r="T33" i="3"/>
  <c r="S33" i="3" s="1"/>
  <c r="X33" i="3" s="1"/>
  <c r="T34" i="3"/>
  <c r="T35" i="3"/>
  <c r="S35" i="3" s="1"/>
  <c r="T36" i="3"/>
  <c r="S36" i="3" s="1"/>
  <c r="T37" i="3"/>
  <c r="S37" i="3" s="1"/>
  <c r="T38" i="3"/>
  <c r="S38" i="3" s="1"/>
  <c r="W38" i="3" s="1"/>
  <c r="T39" i="3"/>
  <c r="T40" i="3"/>
  <c r="S40" i="3" s="1"/>
  <c r="T41" i="3"/>
  <c r="S41" i="3" s="1"/>
  <c r="X41" i="3" s="1"/>
  <c r="T42" i="3"/>
  <c r="T43" i="3"/>
  <c r="S43" i="3" s="1"/>
  <c r="T44" i="3"/>
  <c r="S44" i="3" s="1"/>
  <c r="T45" i="3"/>
  <c r="S45" i="3" s="1"/>
  <c r="T46" i="3"/>
  <c r="S46" i="3" s="1"/>
  <c r="T47" i="3"/>
  <c r="T48" i="3"/>
  <c r="S48" i="3" s="1"/>
  <c r="T49" i="3"/>
  <c r="S49" i="3" s="1"/>
  <c r="X49" i="3" s="1"/>
  <c r="T50" i="3"/>
  <c r="T51" i="3"/>
  <c r="S51" i="3" s="1"/>
  <c r="T52" i="3"/>
  <c r="S52" i="3" s="1"/>
  <c r="T53" i="3"/>
  <c r="S53" i="3" s="1"/>
  <c r="T54" i="3"/>
  <c r="S54" i="3" s="1"/>
  <c r="W54" i="3" s="1"/>
  <c r="V11" i="3"/>
  <c r="V12" i="3"/>
  <c r="U12" i="3" s="1"/>
  <c r="V13" i="3"/>
  <c r="U13" i="3" s="1"/>
  <c r="V14" i="3"/>
  <c r="V15" i="3"/>
  <c r="U15" i="3" s="1"/>
  <c r="V16" i="3"/>
  <c r="U16" i="3" s="1"/>
  <c r="V17" i="3"/>
  <c r="U17" i="3" s="1"/>
  <c r="V18" i="3"/>
  <c r="U18" i="3" s="1"/>
  <c r="V19" i="3"/>
  <c r="V20" i="3"/>
  <c r="U20" i="3" s="1"/>
  <c r="V21" i="3"/>
  <c r="U21" i="3" s="1"/>
  <c r="X21" i="3" s="1"/>
  <c r="V22" i="3"/>
  <c r="U22" i="3" s="1"/>
  <c r="V23" i="3"/>
  <c r="U23" i="3" s="1"/>
  <c r="V24" i="3"/>
  <c r="U24" i="3" s="1"/>
  <c r="V25" i="3"/>
  <c r="U25" i="3" s="1"/>
  <c r="V26" i="3"/>
  <c r="U26" i="3" s="1"/>
  <c r="V27" i="3"/>
  <c r="V28" i="3"/>
  <c r="U28" i="3" s="1"/>
  <c r="V29" i="3"/>
  <c r="U29" i="3" s="1"/>
  <c r="X29" i="3" s="1"/>
  <c r="V30" i="3"/>
  <c r="U30" i="3" s="1"/>
  <c r="V31" i="3"/>
  <c r="U31" i="3" s="1"/>
  <c r="V32" i="3"/>
  <c r="U32" i="3" s="1"/>
  <c r="V33" i="3"/>
  <c r="U33" i="3" s="1"/>
  <c r="V34" i="3"/>
  <c r="U34" i="3" s="1"/>
  <c r="V35" i="3"/>
  <c r="V36" i="3"/>
  <c r="U36" i="3" s="1"/>
  <c r="V37" i="3"/>
  <c r="U37" i="3" s="1"/>
  <c r="X37" i="3" s="1"/>
  <c r="V38" i="3"/>
  <c r="U38" i="3" s="1"/>
  <c r="V39" i="3"/>
  <c r="U39" i="3" s="1"/>
  <c r="V40" i="3"/>
  <c r="AM40" i="3" s="1"/>
  <c r="U40" i="3"/>
  <c r="W40" i="3" s="1"/>
  <c r="V41" i="3"/>
  <c r="U41" i="3"/>
  <c r="V42" i="3"/>
  <c r="U42" i="3" s="1"/>
  <c r="V43" i="3"/>
  <c r="U43" i="3" s="1"/>
  <c r="W43" i="3" s="1"/>
  <c r="V44" i="3"/>
  <c r="U44" i="3"/>
  <c r="W44" i="3" s="1"/>
  <c r="V45" i="3"/>
  <c r="U45" i="3"/>
  <c r="X45" i="3" s="1"/>
  <c r="V46" i="3"/>
  <c r="U46" i="3" s="1"/>
  <c r="V47" i="3"/>
  <c r="U47" i="3" s="1"/>
  <c r="V48" i="3"/>
  <c r="AM48" i="3" s="1"/>
  <c r="U48" i="3"/>
  <c r="W48" i="3" s="1"/>
  <c r="V49" i="3"/>
  <c r="U49" i="3"/>
  <c r="V50" i="3"/>
  <c r="U50" i="3" s="1"/>
  <c r="V51" i="3"/>
  <c r="U51" i="3" s="1"/>
  <c r="W51" i="3" s="1"/>
  <c r="V52" i="3"/>
  <c r="U52" i="3"/>
  <c r="W52" i="3" s="1"/>
  <c r="V53" i="3"/>
  <c r="U53" i="3"/>
  <c r="X53" i="3" s="1"/>
  <c r="V54" i="3"/>
  <c r="U54" i="3" s="1"/>
  <c r="V10" i="3"/>
  <c r="U10" i="3" s="1"/>
  <c r="W10" i="3" s="1"/>
  <c r="T10" i="3"/>
  <c r="AB10" i="3" s="1"/>
  <c r="S10" i="3"/>
  <c r="E70" i="2"/>
  <c r="H70" i="2" s="1"/>
  <c r="E66" i="2"/>
  <c r="H66" i="2" s="1"/>
  <c r="E64" i="2"/>
  <c r="M82" i="9"/>
  <c r="O82" i="9" s="1"/>
  <c r="M46" i="9"/>
  <c r="D48" i="19" s="1"/>
  <c r="P9" i="9"/>
  <c r="M42" i="9"/>
  <c r="D44" i="19" s="1"/>
  <c r="U82" i="9"/>
  <c r="K88" i="9" s="1"/>
  <c r="O42" i="9"/>
  <c r="F44" i="19" s="1"/>
  <c r="O46" i="9"/>
  <c r="F48" i="19" s="1"/>
  <c r="D92" i="9"/>
  <c r="P82" i="9"/>
  <c r="V82" i="9"/>
  <c r="C102" i="9" s="1"/>
  <c r="E102" i="9" s="1"/>
  <c r="F102" i="9" s="1"/>
  <c r="W82" i="9"/>
  <c r="C108" i="9" s="1"/>
  <c r="X82" i="9"/>
  <c r="D110" i="9" s="1"/>
  <c r="L32" i="9"/>
  <c r="L20" i="9"/>
  <c r="L26" i="9"/>
  <c r="L29" i="9"/>
  <c r="AP29" i="9" s="1"/>
  <c r="L27" i="9"/>
  <c r="BJ42" i="3"/>
  <c r="AH42" i="9" s="1"/>
  <c r="BJ46" i="3"/>
  <c r="AH46" i="9" s="1"/>
  <c r="BB18" i="9"/>
  <c r="BB14" i="9"/>
  <c r="BB15" i="9" s="1"/>
  <c r="BB16" i="9" s="1"/>
  <c r="BB17" i="9" s="1"/>
  <c r="BB13" i="9"/>
  <c r="BB12" i="9"/>
  <c r="BB11" i="9"/>
  <c r="BB10" i="9"/>
  <c r="BA10" i="9"/>
  <c r="BA11" i="9" s="1"/>
  <c r="BA12" i="9" s="1"/>
  <c r="BA13" i="9" s="1"/>
  <c r="BA14" i="9" s="1"/>
  <c r="BA15" i="9" s="1"/>
  <c r="BA16" i="9" s="1"/>
  <c r="BA17" i="9" s="1"/>
  <c r="BA18" i="9" s="1"/>
  <c r="AN8" i="9"/>
  <c r="L11" i="9"/>
  <c r="M11" i="9"/>
  <c r="AG11" i="9" s="1"/>
  <c r="L12" i="9"/>
  <c r="M12" i="9"/>
  <c r="AG12" i="9" s="1"/>
  <c r="L13" i="9"/>
  <c r="M13" i="9"/>
  <c r="L14" i="9"/>
  <c r="M14" i="9"/>
  <c r="L15" i="9"/>
  <c r="M15" i="9"/>
  <c r="L16" i="9"/>
  <c r="M16" i="9"/>
  <c r="L17" i="9"/>
  <c r="M17" i="9"/>
  <c r="L18" i="9"/>
  <c r="M18" i="9"/>
  <c r="L19" i="9"/>
  <c r="M19" i="9"/>
  <c r="M20" i="9"/>
  <c r="L21" i="9"/>
  <c r="AP21" i="9" s="1"/>
  <c r="M21" i="9"/>
  <c r="L22" i="9"/>
  <c r="M22" i="9"/>
  <c r="L23" i="9"/>
  <c r="AP23" i="9" s="1"/>
  <c r="M23" i="9"/>
  <c r="L24" i="9"/>
  <c r="M24" i="9"/>
  <c r="L25" i="9"/>
  <c r="AP25" i="9" s="1"/>
  <c r="M25" i="9"/>
  <c r="M26" i="9"/>
  <c r="M27" i="9"/>
  <c r="L28" i="9"/>
  <c r="M28" i="9"/>
  <c r="M29" i="9"/>
  <c r="L30" i="9"/>
  <c r="M30" i="9"/>
  <c r="L31" i="9"/>
  <c r="M31" i="9"/>
  <c r="M32" i="9"/>
  <c r="L33" i="9"/>
  <c r="AP33" i="9" s="1"/>
  <c r="M33" i="9"/>
  <c r="L34" i="9"/>
  <c r="M34" i="9"/>
  <c r="L35" i="9"/>
  <c r="AP35" i="9" s="1"/>
  <c r="M35" i="9"/>
  <c r="L36" i="9"/>
  <c r="M36" i="9"/>
  <c r="L37" i="9"/>
  <c r="AP37" i="9" s="1"/>
  <c r="M37" i="9"/>
  <c r="L38" i="9"/>
  <c r="M38" i="9"/>
  <c r="L39" i="9"/>
  <c r="AP39" i="9" s="1"/>
  <c r="M39" i="9"/>
  <c r="L40" i="9"/>
  <c r="M40" i="9"/>
  <c r="L41" i="9"/>
  <c r="AP41" i="9" s="1"/>
  <c r="M41" i="9"/>
  <c r="L42" i="9"/>
  <c r="L43" i="9"/>
  <c r="AP43" i="9" s="1"/>
  <c r="M43" i="9"/>
  <c r="L44" i="9"/>
  <c r="M44" i="9"/>
  <c r="L45" i="9"/>
  <c r="AP45" i="9" s="1"/>
  <c r="M45" i="9"/>
  <c r="L46" i="9"/>
  <c r="L47" i="9"/>
  <c r="AP47" i="9" s="1"/>
  <c r="M47" i="9"/>
  <c r="L48" i="9"/>
  <c r="M48" i="9"/>
  <c r="L49" i="9"/>
  <c r="AP49" i="9" s="1"/>
  <c r="M49" i="9"/>
  <c r="L50" i="9"/>
  <c r="M50" i="9"/>
  <c r="L51" i="9"/>
  <c r="AP51" i="9" s="1"/>
  <c r="M51" i="9"/>
  <c r="D53" i="19" s="1"/>
  <c r="L52" i="9"/>
  <c r="M52" i="9"/>
  <c r="L53" i="9"/>
  <c r="AP53" i="9" s="1"/>
  <c r="M53" i="9"/>
  <c r="L54" i="9"/>
  <c r="M54" i="9"/>
  <c r="M9" i="9"/>
  <c r="AG9" i="9" s="1"/>
  <c r="L9" i="9"/>
  <c r="AF9" i="9" s="1"/>
  <c r="M10" i="9"/>
  <c r="AG10" i="9" s="1"/>
  <c r="L10" i="9"/>
  <c r="AH9" i="9"/>
  <c r="AI7" i="9"/>
  <c r="AH8" i="9"/>
  <c r="AI8" i="9"/>
  <c r="AJ8" i="9"/>
  <c r="AK8" i="9"/>
  <c r="AL8" i="9"/>
  <c r="AM8" i="9"/>
  <c r="BJ10" i="3"/>
  <c r="AH10" i="9"/>
  <c r="BJ11" i="3"/>
  <c r="AH11" i="9" s="1"/>
  <c r="BJ12" i="3"/>
  <c r="AH12" i="9" s="1"/>
  <c r="BJ13" i="3"/>
  <c r="AH13" i="9" s="1"/>
  <c r="BJ14" i="3"/>
  <c r="AH14" i="9"/>
  <c r="BJ15" i="3"/>
  <c r="AH15" i="9" s="1"/>
  <c r="BJ16" i="3"/>
  <c r="AH16" i="9" s="1"/>
  <c r="BJ17" i="3"/>
  <c r="AH17" i="9" s="1"/>
  <c r="BJ18" i="3"/>
  <c r="AH18" i="9" s="1"/>
  <c r="BJ19" i="3"/>
  <c r="AH19" i="9" s="1"/>
  <c r="BJ29" i="3"/>
  <c r="AH29" i="9"/>
  <c r="BJ30" i="3"/>
  <c r="AH30" i="9" s="1"/>
  <c r="BJ31" i="3"/>
  <c r="AH31" i="9"/>
  <c r="BJ32" i="3"/>
  <c r="AH32" i="9" s="1"/>
  <c r="BJ33" i="3"/>
  <c r="AH33" i="9"/>
  <c r="BJ34" i="3"/>
  <c r="AH34" i="9" s="1"/>
  <c r="BJ35" i="3"/>
  <c r="AH35" i="9"/>
  <c r="BJ36" i="3"/>
  <c r="AH36" i="9" s="1"/>
  <c r="BJ37" i="3"/>
  <c r="AH37" i="9" s="1"/>
  <c r="BJ38" i="3"/>
  <c r="AH38" i="9" s="1"/>
  <c r="BJ39" i="3"/>
  <c r="AH39" i="9"/>
  <c r="BJ40" i="3"/>
  <c r="AH40" i="9" s="1"/>
  <c r="BJ41" i="3"/>
  <c r="AH41" i="9" s="1"/>
  <c r="BJ43" i="3"/>
  <c r="AH43" i="9" s="1"/>
  <c r="BJ44" i="3"/>
  <c r="AH44" i="9" s="1"/>
  <c r="BJ45" i="3"/>
  <c r="AH45" i="9" s="1"/>
  <c r="BJ47" i="3"/>
  <c r="AH47" i="9"/>
  <c r="BJ48" i="3"/>
  <c r="AH48" i="9" s="1"/>
  <c r="BJ49" i="3"/>
  <c r="AH49" i="9"/>
  <c r="BJ50" i="3"/>
  <c r="AH50" i="9" s="1"/>
  <c r="BJ51" i="3"/>
  <c r="AH51" i="9"/>
  <c r="BJ52" i="3"/>
  <c r="AH52" i="9" s="1"/>
  <c r="BJ53" i="3"/>
  <c r="AH53" i="9"/>
  <c r="BJ54" i="3"/>
  <c r="AH54" i="9" s="1"/>
  <c r="CG81" i="3"/>
  <c r="CI81" i="3"/>
  <c r="BC12" i="9" s="1"/>
  <c r="BJ20" i="3"/>
  <c r="AH20" i="9" s="1"/>
  <c r="BJ21" i="3"/>
  <c r="AH21" i="9" s="1"/>
  <c r="BJ22" i="3"/>
  <c r="AH22" i="9" s="1"/>
  <c r="BJ23" i="3"/>
  <c r="AH23" i="9" s="1"/>
  <c r="BJ24" i="3"/>
  <c r="AH24" i="9" s="1"/>
  <c r="BJ25" i="3"/>
  <c r="AH25" i="9" s="1"/>
  <c r="BJ26" i="3"/>
  <c r="AH26" i="9" s="1"/>
  <c r="BJ27" i="3"/>
  <c r="AH27" i="9" s="1"/>
  <c r="BJ28" i="3"/>
  <c r="AH28" i="9" s="1"/>
  <c r="O26" i="9"/>
  <c r="F28" i="19" s="1"/>
  <c r="N26" i="9"/>
  <c r="E28" i="19" s="1"/>
  <c r="CG83" i="3"/>
  <c r="CI83" i="3" s="1"/>
  <c r="AC8" i="9"/>
  <c r="F5" i="9"/>
  <c r="P5" i="9" s="1"/>
  <c r="G7" i="19" s="1"/>
  <c r="CI87" i="3"/>
  <c r="BC18" i="9" s="1"/>
  <c r="AZ18" i="9"/>
  <c r="AY18" i="9"/>
  <c r="AX11" i="9"/>
  <c r="AX12" i="9"/>
  <c r="AX13" i="9"/>
  <c r="AX14" i="9"/>
  <c r="AX15" i="9"/>
  <c r="AX16" i="9"/>
  <c r="AX17" i="9"/>
  <c r="AX18" i="9"/>
  <c r="AX10" i="9"/>
  <c r="AU12" i="3"/>
  <c r="AV12" i="3"/>
  <c r="AV15" i="3"/>
  <c r="AU16" i="3"/>
  <c r="AU17" i="3"/>
  <c r="AV17" i="3"/>
  <c r="AU20" i="3"/>
  <c r="AU21" i="3"/>
  <c r="AV21" i="3"/>
  <c r="AU24" i="3"/>
  <c r="AU25" i="3"/>
  <c r="AV25" i="3"/>
  <c r="AU28" i="3"/>
  <c r="AU29" i="3"/>
  <c r="AV29" i="3"/>
  <c r="AU32" i="3"/>
  <c r="AU33" i="3"/>
  <c r="AV33" i="3"/>
  <c r="AU36" i="3"/>
  <c r="AU37" i="3"/>
  <c r="AV37" i="3"/>
  <c r="AU40" i="3"/>
  <c r="AU41" i="3"/>
  <c r="AV41" i="3"/>
  <c r="AU43" i="3"/>
  <c r="AV43" i="3"/>
  <c r="AU44" i="3"/>
  <c r="AU45" i="3"/>
  <c r="AV45" i="3"/>
  <c r="AU48" i="3"/>
  <c r="AU49" i="3"/>
  <c r="AV49" i="3"/>
  <c r="AU51" i="3"/>
  <c r="AV51" i="3"/>
  <c r="AU52" i="3"/>
  <c r="AU53" i="3"/>
  <c r="AV53" i="3"/>
  <c r="AU10" i="3"/>
  <c r="BI11" i="3"/>
  <c r="BI12" i="3"/>
  <c r="BI13" i="3"/>
  <c r="BI14" i="3"/>
  <c r="BI15" i="3"/>
  <c r="BI16" i="3"/>
  <c r="BI17" i="3"/>
  <c r="BI18" i="3"/>
  <c r="BI19" i="3"/>
  <c r="BI20" i="3"/>
  <c r="BI21" i="3"/>
  <c r="BI22" i="3"/>
  <c r="BI23" i="3"/>
  <c r="BI24" i="3"/>
  <c r="BI25" i="3"/>
  <c r="BI26" i="3"/>
  <c r="BI27" i="3"/>
  <c r="BI28" i="3"/>
  <c r="BI29" i="3"/>
  <c r="BI30" i="3"/>
  <c r="BI31" i="3"/>
  <c r="BI32" i="3"/>
  <c r="BI33" i="3"/>
  <c r="BI34" i="3"/>
  <c r="BI35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I54" i="3"/>
  <c r="BI10" i="3"/>
  <c r="CG82" i="3"/>
  <c r="CI82" i="3" s="1"/>
  <c r="CG80" i="3"/>
  <c r="CI80" i="3"/>
  <c r="BC11" i="9" s="1"/>
  <c r="CG79" i="3"/>
  <c r="CI79" i="3" s="1"/>
  <c r="W50" i="9"/>
  <c r="N52" i="19" s="1"/>
  <c r="W42" i="9"/>
  <c r="N44" i="19" s="1"/>
  <c r="W26" i="9"/>
  <c r="N28" i="19" s="1"/>
  <c r="O50" i="9"/>
  <c r="F52" i="19" s="1"/>
  <c r="P10" i="9"/>
  <c r="G12" i="19" s="1"/>
  <c r="P11" i="9"/>
  <c r="G13" i="19" s="1"/>
  <c r="P12" i="9"/>
  <c r="G14" i="19" s="1"/>
  <c r="P13" i="9"/>
  <c r="G15" i="19" s="1"/>
  <c r="P14" i="9"/>
  <c r="G16" i="19" s="1"/>
  <c r="P15" i="9"/>
  <c r="G17" i="19" s="1"/>
  <c r="P16" i="9"/>
  <c r="G18" i="19" s="1"/>
  <c r="P17" i="9"/>
  <c r="G19" i="19" s="1"/>
  <c r="P18" i="9"/>
  <c r="G20" i="19" s="1"/>
  <c r="P19" i="9"/>
  <c r="G21" i="19" s="1"/>
  <c r="P20" i="9"/>
  <c r="G22" i="19" s="1"/>
  <c r="P21" i="9"/>
  <c r="G23" i="19" s="1"/>
  <c r="P22" i="9"/>
  <c r="G24" i="19" s="1"/>
  <c r="O11" i="9"/>
  <c r="F13" i="19" s="1"/>
  <c r="O12" i="9"/>
  <c r="F14" i="19" s="1"/>
  <c r="O13" i="9"/>
  <c r="F15" i="19" s="1"/>
  <c r="O14" i="9"/>
  <c r="F16" i="19" s="1"/>
  <c r="O15" i="9"/>
  <c r="F17" i="19" s="1"/>
  <c r="O16" i="9"/>
  <c r="F18" i="19" s="1"/>
  <c r="O17" i="9"/>
  <c r="F19" i="19" s="1"/>
  <c r="O18" i="9"/>
  <c r="F20" i="19" s="1"/>
  <c r="O19" i="9"/>
  <c r="F21" i="19" s="1"/>
  <c r="O20" i="9"/>
  <c r="F22" i="19" s="1"/>
  <c r="O21" i="9"/>
  <c r="F23" i="19" s="1"/>
  <c r="O22" i="9"/>
  <c r="F24" i="19" s="1"/>
  <c r="O23" i="9"/>
  <c r="F25" i="19" s="1"/>
  <c r="O24" i="9"/>
  <c r="F26" i="19" s="1"/>
  <c r="O25" i="9"/>
  <c r="F27" i="19" s="1"/>
  <c r="O27" i="9"/>
  <c r="F29" i="19" s="1"/>
  <c r="O28" i="9"/>
  <c r="F30" i="19" s="1"/>
  <c r="O29" i="9"/>
  <c r="F31" i="19" s="1"/>
  <c r="O30" i="9"/>
  <c r="F32" i="19" s="1"/>
  <c r="O31" i="9"/>
  <c r="F33" i="19" s="1"/>
  <c r="O32" i="9"/>
  <c r="F34" i="19" s="1"/>
  <c r="O33" i="9"/>
  <c r="F35" i="19" s="1"/>
  <c r="O34" i="9"/>
  <c r="F36" i="19" s="1"/>
  <c r="O35" i="9"/>
  <c r="F37" i="19" s="1"/>
  <c r="O36" i="9"/>
  <c r="F38" i="19" s="1"/>
  <c r="O37" i="9"/>
  <c r="F39" i="19" s="1"/>
  <c r="O38" i="9"/>
  <c r="F40" i="19" s="1"/>
  <c r="O39" i="9"/>
  <c r="F41" i="19" s="1"/>
  <c r="O40" i="9"/>
  <c r="F42" i="19" s="1"/>
  <c r="O41" i="9"/>
  <c r="F43" i="19" s="1"/>
  <c r="O43" i="9"/>
  <c r="F45" i="19" s="1"/>
  <c r="O44" i="9"/>
  <c r="F46" i="19" s="1"/>
  <c r="O45" i="9"/>
  <c r="F47" i="19" s="1"/>
  <c r="O47" i="9"/>
  <c r="F49" i="19" s="1"/>
  <c r="O48" i="9"/>
  <c r="F50" i="19" s="1"/>
  <c r="O49" i="9"/>
  <c r="F51" i="19" s="1"/>
  <c r="O51" i="9"/>
  <c r="F53" i="19" s="1"/>
  <c r="O52" i="9"/>
  <c r="F54" i="19" s="1"/>
  <c r="O53" i="9"/>
  <c r="F55" i="19" s="1"/>
  <c r="O54" i="9"/>
  <c r="F56" i="19" s="1"/>
  <c r="O10" i="9"/>
  <c r="F12" i="19" s="1"/>
  <c r="R23" i="3"/>
  <c r="P23" i="9" s="1"/>
  <c r="G25" i="19" s="1"/>
  <c r="R24" i="3"/>
  <c r="P24" i="9" s="1"/>
  <c r="G26" i="19" s="1"/>
  <c r="R25" i="3"/>
  <c r="P25" i="9" s="1"/>
  <c r="G27" i="19" s="1"/>
  <c r="R26" i="3"/>
  <c r="P26" i="9" s="1"/>
  <c r="G28" i="19" s="1"/>
  <c r="R27" i="3"/>
  <c r="P27" i="9" s="1"/>
  <c r="G29" i="19" s="1"/>
  <c r="R28" i="3"/>
  <c r="P28" i="9" s="1"/>
  <c r="G30" i="19" s="1"/>
  <c r="R29" i="3"/>
  <c r="P29" i="9" s="1"/>
  <c r="G31" i="19" s="1"/>
  <c r="R30" i="3"/>
  <c r="P30" i="9" s="1"/>
  <c r="G32" i="19" s="1"/>
  <c r="R31" i="3"/>
  <c r="P31" i="9" s="1"/>
  <c r="G33" i="19" s="1"/>
  <c r="R32" i="3"/>
  <c r="P32" i="9" s="1"/>
  <c r="G34" i="19" s="1"/>
  <c r="R33" i="3"/>
  <c r="P33" i="9" s="1"/>
  <c r="G35" i="19" s="1"/>
  <c r="R34" i="3"/>
  <c r="P34" i="9" s="1"/>
  <c r="G36" i="19" s="1"/>
  <c r="R35" i="3"/>
  <c r="P35" i="9" s="1"/>
  <c r="G37" i="19" s="1"/>
  <c r="R36" i="3"/>
  <c r="P36" i="9" s="1"/>
  <c r="G38" i="19" s="1"/>
  <c r="R37" i="3"/>
  <c r="P37" i="9" s="1"/>
  <c r="G39" i="19" s="1"/>
  <c r="R38" i="3"/>
  <c r="P38" i="9" s="1"/>
  <c r="G40" i="19" s="1"/>
  <c r="R39" i="3"/>
  <c r="P39" i="9" s="1"/>
  <c r="G41" i="19" s="1"/>
  <c r="R40" i="3"/>
  <c r="P40" i="9" s="1"/>
  <c r="G42" i="19" s="1"/>
  <c r="R41" i="3"/>
  <c r="P41" i="9" s="1"/>
  <c r="G43" i="19" s="1"/>
  <c r="R42" i="3"/>
  <c r="P42" i="9" s="1"/>
  <c r="G44" i="19" s="1"/>
  <c r="R43" i="3"/>
  <c r="P43" i="9" s="1"/>
  <c r="G45" i="19" s="1"/>
  <c r="R44" i="3"/>
  <c r="P44" i="9" s="1"/>
  <c r="G46" i="19" s="1"/>
  <c r="R45" i="3"/>
  <c r="P45" i="9" s="1"/>
  <c r="G47" i="19" s="1"/>
  <c r="R46" i="3"/>
  <c r="P46" i="9" s="1"/>
  <c r="G48" i="19" s="1"/>
  <c r="R47" i="3"/>
  <c r="P47" i="9" s="1"/>
  <c r="G49" i="19" s="1"/>
  <c r="R48" i="3"/>
  <c r="P48" i="9" s="1"/>
  <c r="G50" i="19" s="1"/>
  <c r="R49" i="3"/>
  <c r="P49" i="9" s="1"/>
  <c r="G51" i="19" s="1"/>
  <c r="R50" i="3"/>
  <c r="P50" i="9" s="1"/>
  <c r="G52" i="19" s="1"/>
  <c r="R51" i="3"/>
  <c r="P51" i="9" s="1"/>
  <c r="G53" i="19" s="1"/>
  <c r="R52" i="3"/>
  <c r="P52" i="9" s="1"/>
  <c r="G54" i="19" s="1"/>
  <c r="R53" i="3"/>
  <c r="P53" i="9" s="1"/>
  <c r="G55" i="19" s="1"/>
  <c r="R54" i="3"/>
  <c r="P54" i="9" s="1"/>
  <c r="G56" i="19" s="1"/>
  <c r="AY10" i="9"/>
  <c r="AY11" i="9"/>
  <c r="AY12" i="9"/>
  <c r="AY13" i="9"/>
  <c r="AY14" i="9"/>
  <c r="AY15" i="9" s="1"/>
  <c r="AY16" i="9" s="1"/>
  <c r="AY17" i="9" s="1"/>
  <c r="AZ14" i="9"/>
  <c r="AZ15" i="9" s="1"/>
  <c r="AZ16" i="9" s="1"/>
  <c r="AZ17" i="9" s="1"/>
  <c r="AZ13" i="9"/>
  <c r="AZ12" i="9"/>
  <c r="AZ11" i="9"/>
  <c r="AZ10" i="9"/>
  <c r="AA12" i="3"/>
  <c r="AB12" i="3"/>
  <c r="AA14" i="3"/>
  <c r="AA16" i="3"/>
  <c r="AB16" i="3"/>
  <c r="AB17" i="3"/>
  <c r="AA18" i="3"/>
  <c r="AA20" i="3"/>
  <c r="AB20" i="3"/>
  <c r="AB21" i="3"/>
  <c r="AA22" i="3"/>
  <c r="AA24" i="3"/>
  <c r="AB24" i="3"/>
  <c r="AB25" i="3"/>
  <c r="AA26" i="3"/>
  <c r="AA28" i="3"/>
  <c r="AB28" i="3"/>
  <c r="AB29" i="3"/>
  <c r="AA30" i="3"/>
  <c r="AA32" i="3"/>
  <c r="AB32" i="3"/>
  <c r="AB33" i="3"/>
  <c r="AA34" i="3"/>
  <c r="AA36" i="3"/>
  <c r="AB36" i="3"/>
  <c r="AB37" i="3"/>
  <c r="AA38" i="3"/>
  <c r="AA40" i="3"/>
  <c r="AB40" i="3"/>
  <c r="AB41" i="3"/>
  <c r="AA43" i="3"/>
  <c r="AB43" i="3"/>
  <c r="AA44" i="3"/>
  <c r="AB44" i="3"/>
  <c r="AA45" i="3"/>
  <c r="AB45" i="3"/>
  <c r="AA48" i="3"/>
  <c r="AB48" i="3"/>
  <c r="AB49" i="3"/>
  <c r="AA51" i="3"/>
  <c r="AB51" i="3"/>
  <c r="AA52" i="3"/>
  <c r="AB52" i="3"/>
  <c r="AA53" i="3"/>
  <c r="AB53" i="3"/>
  <c r="AA54" i="3"/>
  <c r="X12" i="3"/>
  <c r="X15" i="3"/>
  <c r="W16" i="3"/>
  <c r="X16" i="3"/>
  <c r="W17" i="3"/>
  <c r="W20" i="3"/>
  <c r="X20" i="3"/>
  <c r="W21" i="3"/>
  <c r="W24" i="3"/>
  <c r="X24" i="3"/>
  <c r="W25" i="3"/>
  <c r="W28" i="3"/>
  <c r="X28" i="3"/>
  <c r="W29" i="3"/>
  <c r="W32" i="3"/>
  <c r="X32" i="3"/>
  <c r="W33" i="3"/>
  <c r="W36" i="3"/>
  <c r="X36" i="3"/>
  <c r="W37" i="3"/>
  <c r="X40" i="3"/>
  <c r="W41" i="3"/>
  <c r="W45" i="3"/>
  <c r="W49" i="3"/>
  <c r="X51" i="3"/>
  <c r="X52" i="3"/>
  <c r="W53" i="3"/>
  <c r="G24" i="2"/>
  <c r="G25" i="2"/>
  <c r="G26" i="2"/>
  <c r="G23" i="2"/>
  <c r="N50" i="9"/>
  <c r="E52" i="19" s="1"/>
  <c r="N42" i="9"/>
  <c r="E44" i="19" s="1"/>
  <c r="E97" i="9"/>
  <c r="D100" i="9" s="1"/>
  <c r="E100" i="9" s="1"/>
  <c r="F100" i="9" s="1"/>
  <c r="BS20" i="9"/>
  <c r="W54" i="9"/>
  <c r="N56" i="19" s="1"/>
  <c r="N54" i="9"/>
  <c r="E56" i="19" s="1"/>
  <c r="W53" i="9"/>
  <c r="N55" i="19" s="1"/>
  <c r="N53" i="9"/>
  <c r="E55" i="19" s="1"/>
  <c r="W52" i="9"/>
  <c r="N54" i="19" s="1"/>
  <c r="N52" i="9"/>
  <c r="E54" i="19" s="1"/>
  <c r="W51" i="9"/>
  <c r="N53" i="19" s="1"/>
  <c r="N51" i="9"/>
  <c r="E53" i="19" s="1"/>
  <c r="W49" i="9"/>
  <c r="N51" i="19" s="1"/>
  <c r="N49" i="9"/>
  <c r="E51" i="19" s="1"/>
  <c r="W48" i="9"/>
  <c r="N50" i="19" s="1"/>
  <c r="N48" i="9"/>
  <c r="E50" i="19" s="1"/>
  <c r="W47" i="9"/>
  <c r="N49" i="19" s="1"/>
  <c r="N47" i="9"/>
  <c r="E49" i="19" s="1"/>
  <c r="W46" i="9"/>
  <c r="N48" i="19" s="1"/>
  <c r="N46" i="9"/>
  <c r="E48" i="19" s="1"/>
  <c r="W45" i="9"/>
  <c r="N47" i="19" s="1"/>
  <c r="N45" i="9"/>
  <c r="E47" i="19" s="1"/>
  <c r="W44" i="9"/>
  <c r="N46" i="19" s="1"/>
  <c r="N44" i="9"/>
  <c r="E46" i="19" s="1"/>
  <c r="W43" i="9"/>
  <c r="N45" i="19" s="1"/>
  <c r="N43" i="9"/>
  <c r="E45" i="19" s="1"/>
  <c r="W41" i="9"/>
  <c r="N43" i="19" s="1"/>
  <c r="N41" i="9"/>
  <c r="E43" i="19" s="1"/>
  <c r="W40" i="9"/>
  <c r="N42" i="19" s="1"/>
  <c r="N40" i="9"/>
  <c r="E42" i="19" s="1"/>
  <c r="W39" i="9"/>
  <c r="N41" i="19" s="1"/>
  <c r="N39" i="9"/>
  <c r="E41" i="19" s="1"/>
  <c r="W38" i="9"/>
  <c r="N40" i="19" s="1"/>
  <c r="N38" i="9"/>
  <c r="E40" i="19" s="1"/>
  <c r="W37" i="9"/>
  <c r="N39" i="19" s="1"/>
  <c r="N37" i="9"/>
  <c r="E39" i="19" s="1"/>
  <c r="W36" i="9"/>
  <c r="N38" i="19" s="1"/>
  <c r="N36" i="9"/>
  <c r="E38" i="19" s="1"/>
  <c r="W35" i="9"/>
  <c r="N37" i="19" s="1"/>
  <c r="N35" i="9"/>
  <c r="E37" i="19" s="1"/>
  <c r="W34" i="9"/>
  <c r="N36" i="19" s="1"/>
  <c r="N34" i="9"/>
  <c r="E36" i="19" s="1"/>
  <c r="W33" i="9"/>
  <c r="N35" i="19" s="1"/>
  <c r="N33" i="9"/>
  <c r="E35" i="19" s="1"/>
  <c r="W32" i="9"/>
  <c r="N34" i="19" s="1"/>
  <c r="N32" i="9"/>
  <c r="E34" i="19" s="1"/>
  <c r="W31" i="9"/>
  <c r="N33" i="19" s="1"/>
  <c r="N31" i="9"/>
  <c r="E33" i="19" s="1"/>
  <c r="W30" i="9"/>
  <c r="N32" i="19" s="1"/>
  <c r="N30" i="9"/>
  <c r="E32" i="19" s="1"/>
  <c r="W29" i="9"/>
  <c r="N31" i="19" s="1"/>
  <c r="N29" i="9"/>
  <c r="E31" i="19" s="1"/>
  <c r="W28" i="9"/>
  <c r="N30" i="19" s="1"/>
  <c r="N28" i="9"/>
  <c r="E30" i="19" s="1"/>
  <c r="W27" i="9"/>
  <c r="N29" i="19" s="1"/>
  <c r="N27" i="9"/>
  <c r="E29" i="19" s="1"/>
  <c r="W25" i="9"/>
  <c r="N27" i="19" s="1"/>
  <c r="N25" i="9"/>
  <c r="E27" i="19" s="1"/>
  <c r="W24" i="9"/>
  <c r="N26" i="19" s="1"/>
  <c r="N24" i="9"/>
  <c r="E26" i="19" s="1"/>
  <c r="W23" i="9"/>
  <c r="N25" i="19" s="1"/>
  <c r="N23" i="9"/>
  <c r="E25" i="19" s="1"/>
  <c r="W22" i="9"/>
  <c r="N24" i="19" s="1"/>
  <c r="N22" i="9"/>
  <c r="E24" i="19" s="1"/>
  <c r="W21" i="9"/>
  <c r="N23" i="19" s="1"/>
  <c r="N21" i="9"/>
  <c r="E23" i="19" s="1"/>
  <c r="W20" i="9"/>
  <c r="N22" i="19" s="1"/>
  <c r="N20" i="9"/>
  <c r="E22" i="19" s="1"/>
  <c r="W19" i="9"/>
  <c r="N21" i="19" s="1"/>
  <c r="N19" i="9"/>
  <c r="E21" i="19" s="1"/>
  <c r="W18" i="9"/>
  <c r="N20" i="19" s="1"/>
  <c r="N18" i="9"/>
  <c r="E20" i="19" s="1"/>
  <c r="W17" i="9"/>
  <c r="N19" i="19" s="1"/>
  <c r="N17" i="9"/>
  <c r="E19" i="19" s="1"/>
  <c r="W16" i="9"/>
  <c r="N18" i="19" s="1"/>
  <c r="N16" i="9"/>
  <c r="E18" i="19" s="1"/>
  <c r="W15" i="9"/>
  <c r="N17" i="19" s="1"/>
  <c r="N15" i="9"/>
  <c r="E17" i="19" s="1"/>
  <c r="W14" i="9"/>
  <c r="N16" i="19" s="1"/>
  <c r="N14" i="9"/>
  <c r="E16" i="19" s="1"/>
  <c r="W13" i="9"/>
  <c r="N15" i="19" s="1"/>
  <c r="N13" i="9"/>
  <c r="E15" i="19" s="1"/>
  <c r="W12" i="9"/>
  <c r="N14" i="19" s="1"/>
  <c r="N12" i="9"/>
  <c r="E14" i="19" s="1"/>
  <c r="W11" i="9"/>
  <c r="N13" i="19" s="1"/>
  <c r="N11" i="9"/>
  <c r="E13" i="19" s="1"/>
  <c r="W10" i="9"/>
  <c r="N12" i="19" s="1"/>
  <c r="N10" i="9"/>
  <c r="E12" i="19" s="1"/>
  <c r="W9" i="9"/>
  <c r="N9" i="9"/>
  <c r="AB8" i="9"/>
  <c r="AA8" i="9"/>
  <c r="Z8" i="9"/>
  <c r="Y8" i="9"/>
  <c r="X8" i="9"/>
  <c r="W8" i="9"/>
  <c r="W7" i="9"/>
  <c r="BF8" i="9"/>
  <c r="BF13" i="9" s="1"/>
  <c r="E60" i="9"/>
  <c r="D60" i="9" s="1"/>
  <c r="BG8" i="9" s="1"/>
  <c r="BH8" i="9"/>
  <c r="BH10" i="9" s="1"/>
  <c r="BI8" i="9"/>
  <c r="BI11" i="9" s="1"/>
  <c r="D63" i="9"/>
  <c r="N82" i="9" s="1"/>
  <c r="BJ8" i="9"/>
  <c r="BJ10" i="9" s="1"/>
  <c r="BK8" i="9"/>
  <c r="BK12" i="9" s="1"/>
  <c r="BL8" i="9"/>
  <c r="BL10" i="9" s="1"/>
  <c r="BF10" i="9"/>
  <c r="BK10" i="9"/>
  <c r="BS10" i="9"/>
  <c r="BF11" i="9"/>
  <c r="BK11" i="9"/>
  <c r="BS11" i="9"/>
  <c r="BF12" i="9"/>
  <c r="BI12" i="9"/>
  <c r="BS12" i="9"/>
  <c r="BH13" i="9"/>
  <c r="BS13" i="9"/>
  <c r="BH14" i="9"/>
  <c r="BS14" i="9"/>
  <c r="BH15" i="9"/>
  <c r="BS15" i="9"/>
  <c r="BH16" i="9"/>
  <c r="BI16" i="9"/>
  <c r="BK16" i="9"/>
  <c r="BS16" i="9"/>
  <c r="BF17" i="9"/>
  <c r="BK17" i="9"/>
  <c r="BS17" i="9"/>
  <c r="BF18" i="9"/>
  <c r="BK18" i="9"/>
  <c r="BS18" i="9"/>
  <c r="BF19" i="9"/>
  <c r="BJ19" i="9"/>
  <c r="BL19" i="9"/>
  <c r="BS19" i="9"/>
  <c r="N60" i="9"/>
  <c r="N61" i="9" s="1"/>
  <c r="N62" i="9" s="1"/>
  <c r="N63" i="9" s="1"/>
  <c r="N64" i="9" s="1"/>
  <c r="N65" i="9" s="1"/>
  <c r="N66" i="9" s="1"/>
  <c r="N67" i="9" s="1"/>
  <c r="M60" i="9"/>
  <c r="M61" i="9"/>
  <c r="M62" i="9" s="1"/>
  <c r="M63" i="9" s="1"/>
  <c r="M64" i="9" s="1"/>
  <c r="M65" i="9" s="1"/>
  <c r="M66" i="9" s="1"/>
  <c r="M67" i="9" s="1"/>
  <c r="L63" i="9"/>
  <c r="BF20" i="9"/>
  <c r="BI20" i="9"/>
  <c r="BK20" i="9"/>
  <c r="Q87" i="9"/>
  <c r="Q95" i="9" s="1"/>
  <c r="Q96" i="9"/>
  <c r="BH21" i="9"/>
  <c r="BK21" i="9"/>
  <c r="BS21" i="9"/>
  <c r="BF22" i="9"/>
  <c r="BJ22" i="9"/>
  <c r="BS22" i="9"/>
  <c r="BH23" i="9"/>
  <c r="BK23" i="9"/>
  <c r="BS23" i="9"/>
  <c r="BF24" i="9"/>
  <c r="BJ24" i="9"/>
  <c r="BS24" i="9"/>
  <c r="BH25" i="9"/>
  <c r="BK25" i="9"/>
  <c r="BS25" i="9"/>
  <c r="E103" i="9"/>
  <c r="F103" i="9" s="1"/>
  <c r="BF26" i="9"/>
  <c r="BH26" i="9"/>
  <c r="BI26" i="9"/>
  <c r="BJ26" i="9"/>
  <c r="BS26" i="9"/>
  <c r="BF27" i="9"/>
  <c r="BH27" i="9"/>
  <c r="BJ27" i="9"/>
  <c r="BK27" i="9"/>
  <c r="BL27" i="9"/>
  <c r="BS27" i="9"/>
  <c r="BF28" i="9"/>
  <c r="BH28" i="9"/>
  <c r="BJ28" i="9"/>
  <c r="BK28" i="9"/>
  <c r="BL28" i="9"/>
  <c r="BS28" i="9"/>
  <c r="E111" i="9"/>
  <c r="F111" i="9" s="1"/>
  <c r="BF29" i="9"/>
  <c r="BH29" i="9"/>
  <c r="BJ29" i="9"/>
  <c r="BK29" i="9"/>
  <c r="BS29" i="9"/>
  <c r="BF30" i="9"/>
  <c r="BH30" i="9"/>
  <c r="BJ30" i="9"/>
  <c r="BK30" i="9"/>
  <c r="BS30" i="9"/>
  <c r="BS31" i="9"/>
  <c r="BS32" i="9"/>
  <c r="BS33" i="9"/>
  <c r="BS34" i="9"/>
  <c r="BS35" i="9"/>
  <c r="BS36" i="9"/>
  <c r="BS37" i="9"/>
  <c r="BS38" i="9"/>
  <c r="BS39" i="9"/>
  <c r="E59" i="9"/>
  <c r="G59" i="9"/>
  <c r="Q92" i="9"/>
  <c r="L59" i="9"/>
  <c r="Q59" i="9"/>
  <c r="Q100" i="9"/>
  <c r="U59" i="9"/>
  <c r="G60" i="9"/>
  <c r="H60" i="9"/>
  <c r="I60" i="9"/>
  <c r="L60" i="9"/>
  <c r="Q60" i="9"/>
  <c r="R60" i="9"/>
  <c r="R61" i="9" s="1"/>
  <c r="R62" i="9" s="1"/>
  <c r="R63" i="9" s="1"/>
  <c r="R64" i="9" s="1"/>
  <c r="R65" i="9" s="1"/>
  <c r="R66" i="9" s="1"/>
  <c r="R67" i="9" s="1"/>
  <c r="S60" i="9"/>
  <c r="S61" i="9" s="1"/>
  <c r="S62" i="9" s="1"/>
  <c r="S63" i="9" s="1"/>
  <c r="S64" i="9" s="1"/>
  <c r="S65" i="9" s="1"/>
  <c r="S66" i="9" s="1"/>
  <c r="S67" i="9" s="1"/>
  <c r="U60" i="9"/>
  <c r="E61" i="9"/>
  <c r="G61" i="9"/>
  <c r="H61" i="9"/>
  <c r="H62" i="9" s="1"/>
  <c r="H63" i="9" s="1"/>
  <c r="I61" i="9"/>
  <c r="I62" i="9" s="1"/>
  <c r="I63" i="9" s="1"/>
  <c r="L61" i="9"/>
  <c r="U61" i="9"/>
  <c r="E62" i="9"/>
  <c r="G62" i="9"/>
  <c r="L62" i="9"/>
  <c r="Q62" i="9"/>
  <c r="U62" i="9"/>
  <c r="G63" i="9"/>
  <c r="Q63" i="9"/>
  <c r="U63" i="9"/>
  <c r="G64" i="9"/>
  <c r="U64" i="9"/>
  <c r="V64" i="9"/>
  <c r="G65" i="9"/>
  <c r="U65" i="9"/>
  <c r="V65" i="9"/>
  <c r="G66" i="9"/>
  <c r="U66" i="9"/>
  <c r="V66" i="9"/>
  <c r="G67" i="9"/>
  <c r="U67" i="9"/>
  <c r="V67" i="9"/>
  <c r="U68" i="9"/>
  <c r="U69" i="9"/>
  <c r="P86" i="9"/>
  <c r="P94" i="9"/>
  <c r="R95" i="9"/>
  <c r="P98" i="9"/>
  <c r="R99" i="9"/>
  <c r="E24" i="6"/>
  <c r="Y29" i="6" s="1"/>
  <c r="F24" i="6"/>
  <c r="E11" i="6"/>
  <c r="E4" i="6"/>
  <c r="E50" i="6" s="1"/>
  <c r="AE5" i="6"/>
  <c r="E8" i="6"/>
  <c r="M10" i="3"/>
  <c r="AQ10" i="3" s="1"/>
  <c r="M11" i="3"/>
  <c r="M12" i="3"/>
  <c r="M13" i="3"/>
  <c r="M14" i="3"/>
  <c r="M15" i="3"/>
  <c r="AR15" i="3" s="1"/>
  <c r="M16" i="3"/>
  <c r="M17" i="3"/>
  <c r="M18" i="3"/>
  <c r="AQ18" i="3" s="1"/>
  <c r="M19" i="3"/>
  <c r="AQ19" i="3" s="1"/>
  <c r="M20" i="3"/>
  <c r="M21" i="3"/>
  <c r="M22" i="3"/>
  <c r="M23" i="3"/>
  <c r="AR23" i="3" s="1"/>
  <c r="M24" i="3"/>
  <c r="M25" i="3"/>
  <c r="M26" i="3"/>
  <c r="AQ26" i="3" s="1"/>
  <c r="M27" i="3"/>
  <c r="AQ27" i="3" s="1"/>
  <c r="M28" i="3"/>
  <c r="M29" i="3"/>
  <c r="M30" i="3"/>
  <c r="M31" i="3"/>
  <c r="AQ31" i="3" s="1"/>
  <c r="M32" i="3"/>
  <c r="M33" i="3"/>
  <c r="M34" i="3"/>
  <c r="AQ34" i="3" s="1"/>
  <c r="M35" i="3"/>
  <c r="AQ35" i="3" s="1"/>
  <c r="M36" i="3"/>
  <c r="M37" i="3"/>
  <c r="M38" i="3"/>
  <c r="M39" i="3"/>
  <c r="AQ39" i="3" s="1"/>
  <c r="M40" i="3"/>
  <c r="M41" i="3"/>
  <c r="M42" i="3"/>
  <c r="M43" i="3"/>
  <c r="AR43" i="3" s="1"/>
  <c r="M44" i="3"/>
  <c r="M45" i="3"/>
  <c r="AQ45" i="3" s="1"/>
  <c r="M46" i="3"/>
  <c r="M47" i="3"/>
  <c r="AR47" i="3" s="1"/>
  <c r="M48" i="3"/>
  <c r="AQ48" i="3" s="1"/>
  <c r="M49" i="3"/>
  <c r="M50" i="3"/>
  <c r="M51" i="3"/>
  <c r="AR51" i="3" s="1"/>
  <c r="M52" i="3"/>
  <c r="M53" i="3"/>
  <c r="AQ53" i="3" s="1"/>
  <c r="M54" i="3"/>
  <c r="E7" i="6"/>
  <c r="Y28" i="6"/>
  <c r="H23" i="6"/>
  <c r="I23" i="6" s="1"/>
  <c r="X28" i="6" s="1"/>
  <c r="Q24" i="6"/>
  <c r="Q27" i="6"/>
  <c r="CG84" i="3"/>
  <c r="CI84" i="3" s="1"/>
  <c r="BC15" i="9" s="1"/>
  <c r="CG85" i="3"/>
  <c r="CI85" i="3" s="1"/>
  <c r="BC16" i="9" s="1"/>
  <c r="CG86" i="3"/>
  <c r="CI86" i="3" s="1"/>
  <c r="BC17" i="9" s="1"/>
  <c r="CG78" i="3"/>
  <c r="CI78" i="3" s="1"/>
  <c r="CG77" i="3"/>
  <c r="K11" i="3"/>
  <c r="K12" i="3"/>
  <c r="K13" i="3"/>
  <c r="K14" i="3"/>
  <c r="AM14" i="3" s="1"/>
  <c r="K15" i="3"/>
  <c r="K16" i="3"/>
  <c r="K17" i="3"/>
  <c r="K18" i="3"/>
  <c r="K19" i="3"/>
  <c r="K20" i="3"/>
  <c r="K21" i="3"/>
  <c r="K22" i="3"/>
  <c r="AM22" i="3" s="1"/>
  <c r="K23" i="3"/>
  <c r="K24" i="3"/>
  <c r="K25" i="3"/>
  <c r="K26" i="3"/>
  <c r="S39" i="22" s="1"/>
  <c r="I28" i="22" s="1"/>
  <c r="K27" i="3"/>
  <c r="K28" i="3"/>
  <c r="K29" i="3"/>
  <c r="K30" i="3"/>
  <c r="AM30" i="3" s="1"/>
  <c r="K31" i="3"/>
  <c r="K32" i="3"/>
  <c r="K33" i="3"/>
  <c r="K34" i="3"/>
  <c r="K35" i="3"/>
  <c r="K36" i="3"/>
  <c r="K37" i="3"/>
  <c r="K38" i="3"/>
  <c r="AM38" i="3" s="1"/>
  <c r="K39" i="3"/>
  <c r="K40" i="3"/>
  <c r="K41" i="3"/>
  <c r="K42" i="3"/>
  <c r="K43" i="3"/>
  <c r="K44" i="3"/>
  <c r="K45" i="3"/>
  <c r="K46" i="3"/>
  <c r="AM46" i="3" s="1"/>
  <c r="K47" i="3"/>
  <c r="K48" i="3"/>
  <c r="K49" i="3"/>
  <c r="AM49" i="3" s="1"/>
  <c r="K50" i="3"/>
  <c r="K51" i="3"/>
  <c r="K52" i="3"/>
  <c r="K53" i="3"/>
  <c r="K54" i="3"/>
  <c r="AM54" i="3" s="1"/>
  <c r="K10" i="3"/>
  <c r="AK5" i="6"/>
  <c r="AK6" i="6"/>
  <c r="AK7" i="6"/>
  <c r="AK8" i="6"/>
  <c r="AK9" i="6"/>
  <c r="AK10" i="6"/>
  <c r="AK11" i="6"/>
  <c r="AK12" i="6"/>
  <c r="AK13" i="6"/>
  <c r="AK14" i="6"/>
  <c r="AK4" i="6"/>
  <c r="N8" i="7"/>
  <c r="N9" i="7"/>
  <c r="N10" i="7"/>
  <c r="N11" i="7"/>
  <c r="L12" i="7"/>
  <c r="N12" i="7"/>
  <c r="L13" i="7"/>
  <c r="N13" i="7"/>
  <c r="L14" i="7"/>
  <c r="N14" i="7"/>
  <c r="L15" i="7"/>
  <c r="N15" i="7"/>
  <c r="N16" i="7"/>
  <c r="N17" i="7"/>
  <c r="N18" i="7"/>
  <c r="R40" i="6"/>
  <c r="Q47" i="6"/>
  <c r="Y16" i="6"/>
  <c r="AF16" i="6" s="1"/>
  <c r="Y17" i="6"/>
  <c r="AF17" i="6" s="1"/>
  <c r="G23" i="6"/>
  <c r="W28" i="6"/>
  <c r="W29" i="6"/>
  <c r="AN10" i="3"/>
  <c r="AN53" i="3"/>
  <c r="AM53" i="3"/>
  <c r="AN51" i="3"/>
  <c r="AM51" i="3"/>
  <c r="AN47" i="3"/>
  <c r="AN45" i="3"/>
  <c r="AM45" i="3"/>
  <c r="AN43" i="3"/>
  <c r="AM43" i="3"/>
  <c r="AM41" i="3"/>
  <c r="AN39" i="3"/>
  <c r="AN37" i="3"/>
  <c r="AM37" i="3"/>
  <c r="AM33" i="3"/>
  <c r="AN31" i="3"/>
  <c r="AN29" i="3"/>
  <c r="AM29" i="3"/>
  <c r="AM25" i="3"/>
  <c r="AN23" i="3"/>
  <c r="AN21" i="3"/>
  <c r="AM21" i="3"/>
  <c r="AM17" i="3"/>
  <c r="AN15" i="3"/>
  <c r="AQ54" i="3"/>
  <c r="AR52" i="3"/>
  <c r="AQ52" i="3"/>
  <c r="AR48" i="3"/>
  <c r="AQ46" i="3"/>
  <c r="AR44" i="3"/>
  <c r="AQ44" i="3"/>
  <c r="AR40" i="3"/>
  <c r="AQ40" i="3"/>
  <c r="AQ38" i="3"/>
  <c r="AR36" i="3"/>
  <c r="AQ36" i="3"/>
  <c r="AR32" i="3"/>
  <c r="AQ32" i="3"/>
  <c r="AQ30" i="3"/>
  <c r="AR28" i="3"/>
  <c r="AQ28" i="3"/>
  <c r="AR24" i="3"/>
  <c r="AQ24" i="3"/>
  <c r="AQ22" i="3"/>
  <c r="AR20" i="3"/>
  <c r="AQ20" i="3"/>
  <c r="AR16" i="3"/>
  <c r="AQ16" i="3"/>
  <c r="AQ14" i="3"/>
  <c r="AR12" i="3"/>
  <c r="AQ12" i="3"/>
  <c r="AM52" i="3"/>
  <c r="AN52" i="3"/>
  <c r="AN48" i="3"/>
  <c r="AM44" i="3"/>
  <c r="AN44" i="3"/>
  <c r="AN40" i="3"/>
  <c r="AM36" i="3"/>
  <c r="AN36" i="3"/>
  <c r="AM32" i="3"/>
  <c r="AN32" i="3"/>
  <c r="AM28" i="3"/>
  <c r="AN28" i="3"/>
  <c r="AM24" i="3"/>
  <c r="AN24" i="3"/>
  <c r="AM20" i="3"/>
  <c r="AN20" i="3"/>
  <c r="AM16" i="3"/>
  <c r="AN16" i="3"/>
  <c r="AM12" i="3"/>
  <c r="AN12" i="3"/>
  <c r="AR53" i="3"/>
  <c r="AQ51" i="3"/>
  <c r="AR45" i="3"/>
  <c r="AR39" i="3"/>
  <c r="AR37" i="3"/>
  <c r="AQ33" i="3"/>
  <c r="AR29" i="3"/>
  <c r="AQ25" i="3"/>
  <c r="AR21" i="3"/>
  <c r="AQ17" i="3"/>
  <c r="AQ15" i="3"/>
  <c r="AQ11" i="3"/>
  <c r="BL18" i="9"/>
  <c r="BJ18" i="9"/>
  <c r="BL17" i="9"/>
  <c r="BJ17" i="9"/>
  <c r="BL16" i="9"/>
  <c r="BJ16" i="9"/>
  <c r="BL15" i="9"/>
  <c r="BJ15" i="9"/>
  <c r="BL14" i="9"/>
  <c r="BJ14" i="9"/>
  <c r="BL13" i="9"/>
  <c r="BJ13" i="9"/>
  <c r="BL12" i="9"/>
  <c r="BJ12" i="9"/>
  <c r="BL11" i="9"/>
  <c r="BJ11" i="9"/>
  <c r="D104" i="9"/>
  <c r="E104" i="9" s="1"/>
  <c r="F104" i="9" s="1"/>
  <c r="D99" i="9"/>
  <c r="E99" i="9" s="1"/>
  <c r="F99" i="9" s="1"/>
  <c r="H64" i="2"/>
  <c r="E67" i="2"/>
  <c r="Y9" i="23" l="1"/>
  <c r="Y10" i="23" s="1"/>
  <c r="AF9" i="23"/>
  <c r="AF10" i="23" s="1"/>
  <c r="AA31" i="24"/>
  <c r="E47" i="24" s="1"/>
  <c r="E52" i="24" s="1"/>
  <c r="AF9" i="24"/>
  <c r="AF11" i="24" s="1"/>
  <c r="X25" i="23"/>
  <c r="R39" i="23" s="1"/>
  <c r="Z35" i="23" s="1"/>
  <c r="J30" i="23" s="1"/>
  <c r="D101" i="9"/>
  <c r="E101" i="9" s="1"/>
  <c r="F101" i="9" s="1"/>
  <c r="F105" i="9" s="1"/>
  <c r="D29" i="9" s="1"/>
  <c r="D108" i="9"/>
  <c r="E108" i="9" s="1"/>
  <c r="F108" i="9" s="1"/>
  <c r="C110" i="9"/>
  <c r="E110" i="9" s="1"/>
  <c r="F110" i="9" s="1"/>
  <c r="X43" i="3"/>
  <c r="S13" i="3"/>
  <c r="AA13" i="3"/>
  <c r="AQ13" i="3"/>
  <c r="AU13" i="3"/>
  <c r="AB13" i="3"/>
  <c r="AQ43" i="3"/>
  <c r="AQ47" i="3"/>
  <c r="AA42" i="3"/>
  <c r="AV13" i="3"/>
  <c r="AQ42" i="3"/>
  <c r="AA46" i="3"/>
  <c r="U14" i="3"/>
  <c r="W14" i="3" s="1"/>
  <c r="AU14" i="3"/>
  <c r="AB14" i="3"/>
  <c r="AV14" i="3"/>
  <c r="AR14" i="3"/>
  <c r="AN14" i="3"/>
  <c r="S50" i="3"/>
  <c r="AU50" i="3"/>
  <c r="AB50" i="3"/>
  <c r="AM50" i="3"/>
  <c r="AV50" i="3"/>
  <c r="AN50" i="3"/>
  <c r="AR50" i="3"/>
  <c r="S42" i="3"/>
  <c r="AU42" i="3"/>
  <c r="AB42" i="3"/>
  <c r="AM42" i="3"/>
  <c r="AV42" i="3"/>
  <c r="AN42" i="3"/>
  <c r="AR42" i="3"/>
  <c r="S34" i="3"/>
  <c r="AU34" i="3"/>
  <c r="AB34" i="3"/>
  <c r="AM34" i="3"/>
  <c r="AV34" i="3"/>
  <c r="AN34" i="3"/>
  <c r="AR34" i="3"/>
  <c r="S26" i="3"/>
  <c r="AU26" i="3"/>
  <c r="AB26" i="3"/>
  <c r="AM26" i="3"/>
  <c r="AV26" i="3"/>
  <c r="AN26" i="3"/>
  <c r="AR26" i="3"/>
  <c r="S18" i="3"/>
  <c r="AU18" i="3"/>
  <c r="AB18" i="3"/>
  <c r="AM18" i="3"/>
  <c r="AV18" i="3"/>
  <c r="AN18" i="3"/>
  <c r="AR18" i="3"/>
  <c r="U35" i="3"/>
  <c r="AN35" i="3"/>
  <c r="AA35" i="3"/>
  <c r="AM35" i="3"/>
  <c r="AU35" i="3"/>
  <c r="AB35" i="3"/>
  <c r="AR35" i="3"/>
  <c r="AV35" i="3"/>
  <c r="U27" i="3"/>
  <c r="AN27" i="3"/>
  <c r="AV27" i="3"/>
  <c r="AA27" i="3"/>
  <c r="AM27" i="3"/>
  <c r="AU27" i="3"/>
  <c r="AB27" i="3"/>
  <c r="AR27" i="3"/>
  <c r="U19" i="3"/>
  <c r="AN19" i="3"/>
  <c r="AV19" i="3"/>
  <c r="AA19" i="3"/>
  <c r="AM19" i="3"/>
  <c r="AU19" i="3"/>
  <c r="AB19" i="3"/>
  <c r="AR19" i="3"/>
  <c r="U11" i="3"/>
  <c r="AV11" i="3"/>
  <c r="S47" i="3"/>
  <c r="AV47" i="3"/>
  <c r="AA47" i="3"/>
  <c r="AU47" i="3"/>
  <c r="AB47" i="3"/>
  <c r="AM47" i="3"/>
  <c r="S39" i="3"/>
  <c r="AV39" i="3"/>
  <c r="AA39" i="3"/>
  <c r="AU39" i="3"/>
  <c r="AB39" i="3"/>
  <c r="AM39" i="3"/>
  <c r="S31" i="3"/>
  <c r="AA31" i="3"/>
  <c r="AV31" i="3"/>
  <c r="AU31" i="3"/>
  <c r="AB31" i="3"/>
  <c r="AM31" i="3"/>
  <c r="S23" i="3"/>
  <c r="AV23" i="3"/>
  <c r="AA23" i="3"/>
  <c r="AU23" i="3"/>
  <c r="AB23" i="3"/>
  <c r="AM23" i="3"/>
  <c r="W11" i="3"/>
  <c r="AR31" i="3"/>
  <c r="AQ50" i="3"/>
  <c r="AM13" i="3"/>
  <c r="AR13" i="3"/>
  <c r="AQ23" i="3"/>
  <c r="AN13" i="3"/>
  <c r="X11" i="3"/>
  <c r="AA50" i="3"/>
  <c r="W46" i="3"/>
  <c r="X48" i="3"/>
  <c r="X44" i="3"/>
  <c r="X10" i="3"/>
  <c r="AQ21" i="3"/>
  <c r="AQ29" i="3"/>
  <c r="AQ37" i="3"/>
  <c r="AN22" i="3"/>
  <c r="AN30" i="3"/>
  <c r="AN38" i="3"/>
  <c r="AN46" i="3"/>
  <c r="AN54" i="3"/>
  <c r="AM15" i="3"/>
  <c r="AM10" i="3"/>
  <c r="AA49" i="3"/>
  <c r="AA41" i="3"/>
  <c r="AA37" i="3"/>
  <c r="AA33" i="3"/>
  <c r="AA29" i="3"/>
  <c r="AA25" i="3"/>
  <c r="AA21" i="3"/>
  <c r="AA17" i="3"/>
  <c r="AV52" i="3"/>
  <c r="AV48" i="3"/>
  <c r="AV44" i="3"/>
  <c r="AV40" i="3"/>
  <c r="AV36" i="3"/>
  <c r="AV32" i="3"/>
  <c r="AV28" i="3"/>
  <c r="AV24" i="3"/>
  <c r="AV20" i="3"/>
  <c r="AV16" i="3"/>
  <c r="AG46" i="9"/>
  <c r="AR11" i="3"/>
  <c r="AR10" i="3"/>
  <c r="AR22" i="3"/>
  <c r="AR30" i="3"/>
  <c r="AR38" i="3"/>
  <c r="AR46" i="3"/>
  <c r="AR54" i="3"/>
  <c r="AN17" i="3"/>
  <c r="AN25" i="3"/>
  <c r="AN33" i="3"/>
  <c r="AN41" i="3"/>
  <c r="AN49" i="3"/>
  <c r="X54" i="3"/>
  <c r="X46" i="3"/>
  <c r="X38" i="3"/>
  <c r="X30" i="3"/>
  <c r="X22" i="3"/>
  <c r="AA10" i="3"/>
  <c r="AB15" i="3"/>
  <c r="AB11" i="3"/>
  <c r="AV10" i="3"/>
  <c r="AU15" i="3"/>
  <c r="AU11" i="3"/>
  <c r="AQ41" i="3"/>
  <c r="AQ49" i="3"/>
  <c r="AM11" i="3"/>
  <c r="AA15" i="3"/>
  <c r="AA11" i="3"/>
  <c r="AV54" i="3"/>
  <c r="AV46" i="3"/>
  <c r="AV38" i="3"/>
  <c r="AV30" i="3"/>
  <c r="AV22" i="3"/>
  <c r="AR17" i="3"/>
  <c r="AR25" i="3"/>
  <c r="AR33" i="3"/>
  <c r="AR41" i="3"/>
  <c r="AR49" i="3"/>
  <c r="AB54" i="3"/>
  <c r="AB46" i="3"/>
  <c r="AB38" i="3"/>
  <c r="AB30" i="3"/>
  <c r="AB22" i="3"/>
  <c r="AU54" i="3"/>
  <c r="AU46" i="3"/>
  <c r="AU38" i="3"/>
  <c r="AU30" i="3"/>
  <c r="AU22" i="3"/>
  <c r="AG42" i="9"/>
  <c r="D16" i="9"/>
  <c r="D12" i="20" s="1"/>
  <c r="D13" i="9"/>
  <c r="D14" i="9" s="1"/>
  <c r="D10" i="20" s="1"/>
  <c r="D17" i="9"/>
  <c r="D13" i="20" s="1"/>
  <c r="E17" i="9"/>
  <c r="U89" i="9" s="1"/>
  <c r="Q89" i="9" s="1"/>
  <c r="H24" i="6"/>
  <c r="I24" i="6" s="1"/>
  <c r="I25" i="6" s="1"/>
  <c r="X30" i="6" s="1"/>
  <c r="D109" i="9"/>
  <c r="E109" i="9" s="1"/>
  <c r="F109" i="9" s="1"/>
  <c r="BC10" i="9"/>
  <c r="BA5" i="3"/>
  <c r="H67" i="2"/>
  <c r="BC13" i="9"/>
  <c r="BD5" i="3"/>
  <c r="BC14" i="9"/>
  <c r="BE5" i="3"/>
  <c r="I30" i="22"/>
  <c r="E28" i="22"/>
  <c r="G28" i="22" s="1"/>
  <c r="G30" i="22" s="1"/>
  <c r="E7" i="24" s="1"/>
  <c r="Q29" i="24" s="1"/>
  <c r="Q29" i="6"/>
  <c r="BB5" i="3"/>
  <c r="BK26" i="9"/>
  <c r="BJ25" i="9"/>
  <c r="BF25" i="9"/>
  <c r="BK24" i="9"/>
  <c r="BH24" i="9"/>
  <c r="BJ23" i="9"/>
  <c r="BF23" i="9"/>
  <c r="BK22" i="9"/>
  <c r="BH22" i="9"/>
  <c r="BJ21" i="9"/>
  <c r="BF21" i="9"/>
  <c r="BJ20" i="9"/>
  <c r="BH20" i="9"/>
  <c r="BK19" i="9"/>
  <c r="BH19" i="9"/>
  <c r="BH18" i="9"/>
  <c r="BH17" i="9"/>
  <c r="BF16" i="9"/>
  <c r="BK15" i="9"/>
  <c r="BF15" i="9"/>
  <c r="BK14" i="9"/>
  <c r="BF14" i="9"/>
  <c r="BK13" i="9"/>
  <c r="BH12" i="9"/>
  <c r="BH11" i="9"/>
  <c r="BF5" i="3"/>
  <c r="BC5" i="3"/>
  <c r="CL36" i="9"/>
  <c r="CL41" i="9"/>
  <c r="CL37" i="9"/>
  <c r="CL42" i="9"/>
  <c r="CL38" i="9"/>
  <c r="CL34" i="9"/>
  <c r="CL39" i="9"/>
  <c r="CL35" i="9"/>
  <c r="CL40" i="9"/>
  <c r="I5" i="22"/>
  <c r="E19" i="9"/>
  <c r="E15" i="20" s="1"/>
  <c r="Y9" i="24"/>
  <c r="Y11" i="24" s="1"/>
  <c r="AA31" i="23"/>
  <c r="X24" i="23" s="1"/>
  <c r="E30" i="24"/>
  <c r="Z35" i="24"/>
  <c r="R23" i="23"/>
  <c r="I31" i="23"/>
  <c r="Z37" i="23" s="1"/>
  <c r="AC87" i="9"/>
  <c r="Q12" i="20"/>
  <c r="E36" i="9"/>
  <c r="C52" i="20" s="1"/>
  <c r="Q79" i="9"/>
  <c r="Q82" i="9" s="1"/>
  <c r="BL30" i="9"/>
  <c r="BI29" i="9"/>
  <c r="BL25" i="9"/>
  <c r="BI24" i="9"/>
  <c r="BL23" i="9"/>
  <c r="BI22" i="9"/>
  <c r="BL21" i="9"/>
  <c r="BI18" i="9"/>
  <c r="BI14" i="9"/>
  <c r="BI10" i="9"/>
  <c r="BZ42" i="9"/>
  <c r="CN42" i="9" s="1"/>
  <c r="BY38" i="9"/>
  <c r="BZ38" i="9" s="1"/>
  <c r="Q99" i="9"/>
  <c r="Q101" i="9" s="1"/>
  <c r="T59" i="9" s="1"/>
  <c r="T60" i="9" s="1"/>
  <c r="T61" i="9" s="1"/>
  <c r="T62" i="9" s="1"/>
  <c r="T63" i="9" s="1"/>
  <c r="T64" i="9" s="1"/>
  <c r="T65" i="9" s="1"/>
  <c r="T66" i="9" s="1"/>
  <c r="T67" i="9" s="1"/>
  <c r="T68" i="9" s="1"/>
  <c r="T69" i="9" s="1"/>
  <c r="Q97" i="9"/>
  <c r="O59" i="9" s="1"/>
  <c r="O60" i="9" s="1"/>
  <c r="O61" i="9" s="1"/>
  <c r="O62" i="9" s="1"/>
  <c r="O63" i="9" s="1"/>
  <c r="O64" i="9" s="1"/>
  <c r="O65" i="9" s="1"/>
  <c r="O66" i="9" s="1"/>
  <c r="O67" i="9" s="1"/>
  <c r="O68" i="9" s="1"/>
  <c r="O69" i="9" s="1"/>
  <c r="S82" i="9"/>
  <c r="I64" i="9"/>
  <c r="I65" i="9" s="1"/>
  <c r="I66" i="9" s="1"/>
  <c r="I67" i="9" s="1"/>
  <c r="H64" i="9"/>
  <c r="H65" i="9" s="1"/>
  <c r="H66" i="9" s="1"/>
  <c r="H67" i="9" s="1"/>
  <c r="R82" i="9"/>
  <c r="BG11" i="9"/>
  <c r="BG13" i="9"/>
  <c r="BG15" i="9"/>
  <c r="BG17" i="9"/>
  <c r="BG19" i="9"/>
  <c r="BG27" i="9"/>
  <c r="BG21" i="9"/>
  <c r="BG23" i="9"/>
  <c r="BG25" i="9"/>
  <c r="BG30" i="9"/>
  <c r="BG28" i="9"/>
  <c r="BG10" i="9"/>
  <c r="BG12" i="9"/>
  <c r="BG14" i="9"/>
  <c r="BG16" i="9"/>
  <c r="BG18" i="9"/>
  <c r="BG26" i="9"/>
  <c r="BG20" i="9"/>
  <c r="BG22" i="9"/>
  <c r="BG24" i="9"/>
  <c r="BG29" i="9"/>
  <c r="AF10" i="9"/>
  <c r="C12" i="19"/>
  <c r="AG54" i="9"/>
  <c r="D56" i="19"/>
  <c r="AG53" i="9"/>
  <c r="D55" i="19"/>
  <c r="AG52" i="9"/>
  <c r="D54" i="19"/>
  <c r="AG51" i="9"/>
  <c r="AG50" i="9"/>
  <c r="D52" i="19"/>
  <c r="AG49" i="9"/>
  <c r="D51" i="19"/>
  <c r="AG48" i="9"/>
  <c r="D50" i="19"/>
  <c r="AG47" i="9"/>
  <c r="D49" i="19"/>
  <c r="AG45" i="9"/>
  <c r="D47" i="19"/>
  <c r="AG44" i="9"/>
  <c r="D46" i="19"/>
  <c r="AG43" i="9"/>
  <c r="D45" i="19"/>
  <c r="AG41" i="9"/>
  <c r="D43" i="19"/>
  <c r="AG40" i="9"/>
  <c r="D42" i="19"/>
  <c r="AG39" i="9"/>
  <c r="D41" i="19"/>
  <c r="AG38" i="9"/>
  <c r="D40" i="19"/>
  <c r="AG37" i="9"/>
  <c r="D39" i="19"/>
  <c r="AG36" i="9"/>
  <c r="D38" i="19"/>
  <c r="AG35" i="9"/>
  <c r="D37" i="19"/>
  <c r="AG34" i="9"/>
  <c r="D36" i="19"/>
  <c r="AG33" i="9"/>
  <c r="D35" i="19"/>
  <c r="AG32" i="9"/>
  <c r="D34" i="19"/>
  <c r="AF31" i="9"/>
  <c r="C33" i="19"/>
  <c r="AF30" i="9"/>
  <c r="C32" i="19"/>
  <c r="AG28" i="9"/>
  <c r="D30" i="19"/>
  <c r="AG27" i="9"/>
  <c r="D29" i="19"/>
  <c r="AG25" i="9"/>
  <c r="D27" i="19"/>
  <c r="AG24" i="9"/>
  <c r="D26" i="19"/>
  <c r="AG23" i="9"/>
  <c r="D25" i="19"/>
  <c r="AG22" i="9"/>
  <c r="D24" i="19"/>
  <c r="AG21" i="9"/>
  <c r="D23" i="19"/>
  <c r="AG20" i="9"/>
  <c r="D22" i="19"/>
  <c r="AF19" i="9"/>
  <c r="C21" i="19"/>
  <c r="AF18" i="9"/>
  <c r="C20" i="19"/>
  <c r="AF17" i="9"/>
  <c r="C19" i="19"/>
  <c r="AF16" i="9"/>
  <c r="C18" i="19"/>
  <c r="AF15" i="9"/>
  <c r="C17" i="19"/>
  <c r="AF14" i="9"/>
  <c r="C16" i="19"/>
  <c r="AF13" i="9"/>
  <c r="C15" i="19"/>
  <c r="AF12" i="9"/>
  <c r="C14" i="19"/>
  <c r="AF11" i="9"/>
  <c r="C13" i="19"/>
  <c r="AF27" i="9"/>
  <c r="C29" i="19"/>
  <c r="AF26" i="9"/>
  <c r="C28" i="19"/>
  <c r="AF32" i="9"/>
  <c r="C34" i="19"/>
  <c r="BI30" i="9"/>
  <c r="BL29" i="9"/>
  <c r="BI28" i="9"/>
  <c r="BI27" i="9"/>
  <c r="BL26" i="9"/>
  <c r="BI25" i="9"/>
  <c r="BL24" i="9"/>
  <c r="BI23" i="9"/>
  <c r="BL22" i="9"/>
  <c r="BI21" i="9"/>
  <c r="BL20" i="9"/>
  <c r="BI19" i="9"/>
  <c r="BI17" i="9"/>
  <c r="BI15" i="9"/>
  <c r="BI13" i="9"/>
  <c r="AP9" i="9"/>
  <c r="AP31" i="9"/>
  <c r="AP27" i="9"/>
  <c r="AP19" i="9"/>
  <c r="AP17" i="9"/>
  <c r="AP15" i="9"/>
  <c r="AP13" i="9"/>
  <c r="AP11" i="9"/>
  <c r="F17" i="20"/>
  <c r="F18" i="20"/>
  <c r="F20" i="20"/>
  <c r="D13" i="19"/>
  <c r="AF54" i="9"/>
  <c r="C56" i="19"/>
  <c r="AF53" i="9"/>
  <c r="C55" i="19"/>
  <c r="AF52" i="9"/>
  <c r="C54" i="19"/>
  <c r="AF51" i="9"/>
  <c r="C53" i="19"/>
  <c r="AF50" i="9"/>
  <c r="C52" i="19"/>
  <c r="AF49" i="9"/>
  <c r="C51" i="19"/>
  <c r="AF48" i="9"/>
  <c r="C50" i="19"/>
  <c r="AF47" i="9"/>
  <c r="C49" i="19"/>
  <c r="AF46" i="9"/>
  <c r="C48" i="19"/>
  <c r="AF45" i="9"/>
  <c r="C47" i="19"/>
  <c r="AF44" i="9"/>
  <c r="C46" i="19"/>
  <c r="AF43" i="9"/>
  <c r="I16" i="9" s="1"/>
  <c r="C45" i="19"/>
  <c r="AF42" i="9"/>
  <c r="C44" i="19"/>
  <c r="AF41" i="9"/>
  <c r="C43" i="19"/>
  <c r="AF40" i="9"/>
  <c r="C42" i="19"/>
  <c r="AF39" i="9"/>
  <c r="C41" i="19"/>
  <c r="AF38" i="9"/>
  <c r="C40" i="19"/>
  <c r="AF37" i="9"/>
  <c r="C39" i="19"/>
  <c r="AF36" i="9"/>
  <c r="C38" i="19"/>
  <c r="AF35" i="9"/>
  <c r="C37" i="19"/>
  <c r="AF34" i="9"/>
  <c r="C36" i="19"/>
  <c r="AF33" i="9"/>
  <c r="C35" i="19"/>
  <c r="AG31" i="9"/>
  <c r="D33" i="19"/>
  <c r="AG30" i="9"/>
  <c r="D32" i="19"/>
  <c r="AG29" i="9"/>
  <c r="D31" i="19"/>
  <c r="AF28" i="9"/>
  <c r="C30" i="19"/>
  <c r="AG26" i="9"/>
  <c r="D28" i="19"/>
  <c r="AF25" i="9"/>
  <c r="C27" i="19"/>
  <c r="AF24" i="9"/>
  <c r="C26" i="19"/>
  <c r="AF23" i="9"/>
  <c r="C25" i="19"/>
  <c r="AF22" i="9"/>
  <c r="C24" i="19"/>
  <c r="AF21" i="9"/>
  <c r="C23" i="19"/>
  <c r="AG19" i="9"/>
  <c r="D21" i="19"/>
  <c r="AG18" i="9"/>
  <c r="D20" i="19"/>
  <c r="AG17" i="9"/>
  <c r="D19" i="19"/>
  <c r="AG16" i="9"/>
  <c r="D18" i="19"/>
  <c r="AG15" i="9"/>
  <c r="D17" i="19"/>
  <c r="AG14" i="9"/>
  <c r="D16" i="19"/>
  <c r="AG13" i="9"/>
  <c r="D15" i="19"/>
  <c r="AF29" i="9"/>
  <c r="C31" i="19"/>
  <c r="AF20" i="9"/>
  <c r="C22" i="19"/>
  <c r="AP54" i="9"/>
  <c r="AP52" i="9"/>
  <c r="AP50" i="9"/>
  <c r="AP48" i="9"/>
  <c r="AP46" i="9"/>
  <c r="AP44" i="9"/>
  <c r="AP42" i="9"/>
  <c r="AP40" i="9"/>
  <c r="AP38" i="9"/>
  <c r="AP36" i="9"/>
  <c r="AP34" i="9"/>
  <c r="AP32" i="9"/>
  <c r="AP30" i="9"/>
  <c r="AP28" i="9"/>
  <c r="AP26" i="9"/>
  <c r="AP24" i="9"/>
  <c r="AP22" i="9"/>
  <c r="AP20" i="9"/>
  <c r="AP18" i="9"/>
  <c r="AP16" i="9"/>
  <c r="AP14" i="9"/>
  <c r="AP12" i="9"/>
  <c r="AP10" i="9"/>
  <c r="F19" i="20"/>
  <c r="D12" i="19"/>
  <c r="D14" i="19"/>
  <c r="F36" i="9"/>
  <c r="D52" i="20" s="1"/>
  <c r="G52" i="20" s="1"/>
  <c r="I99" i="9"/>
  <c r="I100" i="9"/>
  <c r="S4" i="9"/>
  <c r="R11" i="9"/>
  <c r="I13" i="19" s="1"/>
  <c r="U54" i="9"/>
  <c r="L56" i="19" s="1"/>
  <c r="S54" i="9"/>
  <c r="J56" i="19" s="1"/>
  <c r="Q54" i="9"/>
  <c r="H56" i="19" s="1"/>
  <c r="U53" i="9"/>
  <c r="L55" i="19" s="1"/>
  <c r="S53" i="9"/>
  <c r="J55" i="19" s="1"/>
  <c r="Q53" i="9"/>
  <c r="H55" i="19" s="1"/>
  <c r="U52" i="9"/>
  <c r="L54" i="19" s="1"/>
  <c r="S52" i="9"/>
  <c r="J54" i="19" s="1"/>
  <c r="Q52" i="9"/>
  <c r="H54" i="19" s="1"/>
  <c r="U51" i="9"/>
  <c r="L53" i="19" s="1"/>
  <c r="S51" i="9"/>
  <c r="J53" i="19" s="1"/>
  <c r="Q51" i="9"/>
  <c r="H53" i="19" s="1"/>
  <c r="U50" i="9"/>
  <c r="L52" i="19" s="1"/>
  <c r="S50" i="9"/>
  <c r="J52" i="19" s="1"/>
  <c r="Q50" i="9"/>
  <c r="H52" i="19" s="1"/>
  <c r="U49" i="9"/>
  <c r="L51" i="19" s="1"/>
  <c r="S49" i="9"/>
  <c r="J51" i="19" s="1"/>
  <c r="Q49" i="9"/>
  <c r="H51" i="19" s="1"/>
  <c r="U48" i="9"/>
  <c r="L50" i="19" s="1"/>
  <c r="S48" i="9"/>
  <c r="J50" i="19" s="1"/>
  <c r="Q48" i="9"/>
  <c r="H50" i="19" s="1"/>
  <c r="U47" i="9"/>
  <c r="L49" i="19" s="1"/>
  <c r="S47" i="9"/>
  <c r="J49" i="19" s="1"/>
  <c r="Q47" i="9"/>
  <c r="H49" i="19" s="1"/>
  <c r="U46" i="9"/>
  <c r="L48" i="19" s="1"/>
  <c r="S46" i="9"/>
  <c r="J48" i="19" s="1"/>
  <c r="Q46" i="9"/>
  <c r="H48" i="19" s="1"/>
  <c r="U45" i="9"/>
  <c r="L47" i="19" s="1"/>
  <c r="S45" i="9"/>
  <c r="J47" i="19" s="1"/>
  <c r="Q45" i="9"/>
  <c r="H47" i="19" s="1"/>
  <c r="U44" i="9"/>
  <c r="L46" i="19" s="1"/>
  <c r="S44" i="9"/>
  <c r="J46" i="19" s="1"/>
  <c r="Q44" i="9"/>
  <c r="H46" i="19" s="1"/>
  <c r="U43" i="9"/>
  <c r="L45" i="19" s="1"/>
  <c r="S43" i="9"/>
  <c r="J45" i="19" s="1"/>
  <c r="Q43" i="9"/>
  <c r="H45" i="19" s="1"/>
  <c r="U42" i="9"/>
  <c r="L44" i="19" s="1"/>
  <c r="S42" i="9"/>
  <c r="J44" i="19" s="1"/>
  <c r="Q42" i="9"/>
  <c r="H44" i="19" s="1"/>
  <c r="U41" i="9"/>
  <c r="L43" i="19" s="1"/>
  <c r="S41" i="9"/>
  <c r="J43" i="19" s="1"/>
  <c r="Q41" i="9"/>
  <c r="H43" i="19" s="1"/>
  <c r="U40" i="9"/>
  <c r="L42" i="19" s="1"/>
  <c r="S40" i="9"/>
  <c r="J42" i="19" s="1"/>
  <c r="Q40" i="9"/>
  <c r="H42" i="19" s="1"/>
  <c r="U39" i="9"/>
  <c r="L41" i="19" s="1"/>
  <c r="S39" i="9"/>
  <c r="J41" i="19" s="1"/>
  <c r="Q39" i="9"/>
  <c r="H41" i="19" s="1"/>
  <c r="U38" i="9"/>
  <c r="L40" i="19" s="1"/>
  <c r="S38" i="9"/>
  <c r="J40" i="19" s="1"/>
  <c r="Q38" i="9"/>
  <c r="H40" i="19" s="1"/>
  <c r="U37" i="9"/>
  <c r="L39" i="19" s="1"/>
  <c r="S37" i="9"/>
  <c r="J39" i="19" s="1"/>
  <c r="Q37" i="9"/>
  <c r="H39" i="19" s="1"/>
  <c r="U36" i="9"/>
  <c r="L38" i="19" s="1"/>
  <c r="S36" i="9"/>
  <c r="J38" i="19" s="1"/>
  <c r="Q36" i="9"/>
  <c r="H38" i="19" s="1"/>
  <c r="U35" i="9"/>
  <c r="L37" i="19" s="1"/>
  <c r="S35" i="9"/>
  <c r="J37" i="19" s="1"/>
  <c r="Q35" i="9"/>
  <c r="H37" i="19" s="1"/>
  <c r="U34" i="9"/>
  <c r="L36" i="19" s="1"/>
  <c r="S34" i="9"/>
  <c r="J36" i="19" s="1"/>
  <c r="Q34" i="9"/>
  <c r="H36" i="19" s="1"/>
  <c r="U33" i="9"/>
  <c r="L35" i="19" s="1"/>
  <c r="S33" i="9"/>
  <c r="J35" i="19" s="1"/>
  <c r="Q33" i="9"/>
  <c r="H35" i="19" s="1"/>
  <c r="U32" i="9"/>
  <c r="L34" i="19" s="1"/>
  <c r="S32" i="9"/>
  <c r="J34" i="19" s="1"/>
  <c r="Q32" i="9"/>
  <c r="H34" i="19" s="1"/>
  <c r="U31" i="9"/>
  <c r="L33" i="19" s="1"/>
  <c r="S31" i="9"/>
  <c r="J33" i="19" s="1"/>
  <c r="Q31" i="9"/>
  <c r="H33" i="19" s="1"/>
  <c r="U30" i="9"/>
  <c r="L32" i="19" s="1"/>
  <c r="S30" i="9"/>
  <c r="J32" i="19" s="1"/>
  <c r="Q30" i="9"/>
  <c r="H32" i="19" s="1"/>
  <c r="U29" i="9"/>
  <c r="L31" i="19" s="1"/>
  <c r="S29" i="9"/>
  <c r="J31" i="19" s="1"/>
  <c r="Q29" i="9"/>
  <c r="H31" i="19" s="1"/>
  <c r="U28" i="9"/>
  <c r="L30" i="19" s="1"/>
  <c r="S28" i="9"/>
  <c r="J30" i="19" s="1"/>
  <c r="Q28" i="9"/>
  <c r="H30" i="19" s="1"/>
  <c r="U27" i="9"/>
  <c r="L29" i="19" s="1"/>
  <c r="S27" i="9"/>
  <c r="J29" i="19" s="1"/>
  <c r="Q27" i="9"/>
  <c r="H29" i="19" s="1"/>
  <c r="U26" i="9"/>
  <c r="L28" i="19" s="1"/>
  <c r="S26" i="9"/>
  <c r="J28" i="19" s="1"/>
  <c r="Q26" i="9"/>
  <c r="H28" i="19" s="1"/>
  <c r="U25" i="9"/>
  <c r="L27" i="19" s="1"/>
  <c r="S25" i="9"/>
  <c r="J27" i="19" s="1"/>
  <c r="Q25" i="9"/>
  <c r="H27" i="19" s="1"/>
  <c r="U24" i="9"/>
  <c r="L26" i="19" s="1"/>
  <c r="S24" i="9"/>
  <c r="J26" i="19" s="1"/>
  <c r="Q24" i="9"/>
  <c r="H26" i="19" s="1"/>
  <c r="U23" i="9"/>
  <c r="L25" i="19" s="1"/>
  <c r="S23" i="9"/>
  <c r="J25" i="19" s="1"/>
  <c r="Q23" i="9"/>
  <c r="H25" i="19" s="1"/>
  <c r="U22" i="9"/>
  <c r="L24" i="19" s="1"/>
  <c r="S22" i="9"/>
  <c r="J24" i="19" s="1"/>
  <c r="Q22" i="9"/>
  <c r="H24" i="19" s="1"/>
  <c r="U21" i="9"/>
  <c r="L23" i="19" s="1"/>
  <c r="S21" i="9"/>
  <c r="J23" i="19" s="1"/>
  <c r="Q21" i="9"/>
  <c r="H23" i="19" s="1"/>
  <c r="U20" i="9"/>
  <c r="L22" i="19" s="1"/>
  <c r="S20" i="9"/>
  <c r="J22" i="19" s="1"/>
  <c r="Q20" i="9"/>
  <c r="H22" i="19" s="1"/>
  <c r="U19" i="9"/>
  <c r="L21" i="19" s="1"/>
  <c r="S19" i="9"/>
  <c r="J21" i="19" s="1"/>
  <c r="Q19" i="9"/>
  <c r="H21" i="19" s="1"/>
  <c r="U18" i="9"/>
  <c r="L20" i="19" s="1"/>
  <c r="S18" i="9"/>
  <c r="J20" i="19" s="1"/>
  <c r="Q18" i="9"/>
  <c r="H20" i="19" s="1"/>
  <c r="U17" i="9"/>
  <c r="L19" i="19" s="1"/>
  <c r="S17" i="9"/>
  <c r="J19" i="19" s="1"/>
  <c r="Q17" i="9"/>
  <c r="H19" i="19" s="1"/>
  <c r="U16" i="9"/>
  <c r="L18" i="19" s="1"/>
  <c r="S16" i="9"/>
  <c r="J18" i="19" s="1"/>
  <c r="Q16" i="9"/>
  <c r="H18" i="19" s="1"/>
  <c r="U15" i="9"/>
  <c r="L17" i="19" s="1"/>
  <c r="S15" i="9"/>
  <c r="J17" i="19" s="1"/>
  <c r="Q15" i="9"/>
  <c r="H17" i="19" s="1"/>
  <c r="U14" i="9"/>
  <c r="L16" i="19" s="1"/>
  <c r="S14" i="9"/>
  <c r="J16" i="19" s="1"/>
  <c r="Q14" i="9"/>
  <c r="H16" i="19" s="1"/>
  <c r="U13" i="9"/>
  <c r="L15" i="19" s="1"/>
  <c r="S13" i="9"/>
  <c r="J15" i="19" s="1"/>
  <c r="Q13" i="9"/>
  <c r="H15" i="19" s="1"/>
  <c r="U12" i="9"/>
  <c r="L14" i="19" s="1"/>
  <c r="S12" i="9"/>
  <c r="J14" i="19" s="1"/>
  <c r="Q12" i="9"/>
  <c r="H14" i="19" s="1"/>
  <c r="U11" i="9"/>
  <c r="L13" i="19" s="1"/>
  <c r="S11" i="9"/>
  <c r="J13" i="19" s="1"/>
  <c r="Q11" i="9"/>
  <c r="H13" i="19" s="1"/>
  <c r="V54" i="9"/>
  <c r="M56" i="19" s="1"/>
  <c r="T54" i="9"/>
  <c r="K56" i="19" s="1"/>
  <c r="R54" i="9"/>
  <c r="I56" i="19" s="1"/>
  <c r="V53" i="9"/>
  <c r="M55" i="19" s="1"/>
  <c r="T53" i="9"/>
  <c r="K55" i="19" s="1"/>
  <c r="R53" i="9"/>
  <c r="I55" i="19" s="1"/>
  <c r="V52" i="9"/>
  <c r="M54" i="19" s="1"/>
  <c r="T52" i="9"/>
  <c r="K54" i="19" s="1"/>
  <c r="R52" i="9"/>
  <c r="I54" i="19" s="1"/>
  <c r="V51" i="9"/>
  <c r="M53" i="19" s="1"/>
  <c r="T51" i="9"/>
  <c r="K53" i="19" s="1"/>
  <c r="R51" i="9"/>
  <c r="I53" i="19" s="1"/>
  <c r="V50" i="9"/>
  <c r="M52" i="19" s="1"/>
  <c r="T50" i="9"/>
  <c r="K52" i="19" s="1"/>
  <c r="R50" i="9"/>
  <c r="I52" i="19" s="1"/>
  <c r="V49" i="9"/>
  <c r="M51" i="19" s="1"/>
  <c r="T49" i="9"/>
  <c r="K51" i="19" s="1"/>
  <c r="R49" i="9"/>
  <c r="I51" i="19" s="1"/>
  <c r="V48" i="9"/>
  <c r="M50" i="19" s="1"/>
  <c r="T48" i="9"/>
  <c r="K50" i="19" s="1"/>
  <c r="R48" i="9"/>
  <c r="I50" i="19" s="1"/>
  <c r="V47" i="9"/>
  <c r="M49" i="19" s="1"/>
  <c r="T47" i="9"/>
  <c r="K49" i="19" s="1"/>
  <c r="R47" i="9"/>
  <c r="I49" i="19" s="1"/>
  <c r="V46" i="9"/>
  <c r="M48" i="19" s="1"/>
  <c r="T46" i="9"/>
  <c r="K48" i="19" s="1"/>
  <c r="R46" i="9"/>
  <c r="I48" i="19" s="1"/>
  <c r="V45" i="9"/>
  <c r="M47" i="19" s="1"/>
  <c r="T45" i="9"/>
  <c r="K47" i="19" s="1"/>
  <c r="R45" i="9"/>
  <c r="I47" i="19" s="1"/>
  <c r="V44" i="9"/>
  <c r="M46" i="19" s="1"/>
  <c r="T44" i="9"/>
  <c r="K46" i="19" s="1"/>
  <c r="R44" i="9"/>
  <c r="I46" i="19" s="1"/>
  <c r="V43" i="9"/>
  <c r="M45" i="19" s="1"/>
  <c r="T43" i="9"/>
  <c r="K45" i="19" s="1"/>
  <c r="R43" i="9"/>
  <c r="I45" i="19" s="1"/>
  <c r="V42" i="9"/>
  <c r="M44" i="19" s="1"/>
  <c r="T42" i="9"/>
  <c r="K44" i="19" s="1"/>
  <c r="R42" i="9"/>
  <c r="I44" i="19" s="1"/>
  <c r="V41" i="9"/>
  <c r="M43" i="19" s="1"/>
  <c r="T41" i="9"/>
  <c r="K43" i="19" s="1"/>
  <c r="R41" i="9"/>
  <c r="I43" i="19" s="1"/>
  <c r="V40" i="9"/>
  <c r="M42" i="19" s="1"/>
  <c r="T40" i="9"/>
  <c r="K42" i="19" s="1"/>
  <c r="R40" i="9"/>
  <c r="I42" i="19" s="1"/>
  <c r="V39" i="9"/>
  <c r="M41" i="19" s="1"/>
  <c r="T39" i="9"/>
  <c r="K41" i="19" s="1"/>
  <c r="R39" i="9"/>
  <c r="I41" i="19" s="1"/>
  <c r="V38" i="9"/>
  <c r="M40" i="19" s="1"/>
  <c r="T38" i="9"/>
  <c r="K40" i="19" s="1"/>
  <c r="R38" i="9"/>
  <c r="I40" i="19" s="1"/>
  <c r="V37" i="9"/>
  <c r="M39" i="19" s="1"/>
  <c r="T37" i="9"/>
  <c r="K39" i="19" s="1"/>
  <c r="R37" i="9"/>
  <c r="I39" i="19" s="1"/>
  <c r="V36" i="9"/>
  <c r="M38" i="19" s="1"/>
  <c r="T36" i="9"/>
  <c r="K38" i="19" s="1"/>
  <c r="R36" i="9"/>
  <c r="I38" i="19" s="1"/>
  <c r="V35" i="9"/>
  <c r="M37" i="19" s="1"/>
  <c r="T35" i="9"/>
  <c r="K37" i="19" s="1"/>
  <c r="R35" i="9"/>
  <c r="I37" i="19" s="1"/>
  <c r="V34" i="9"/>
  <c r="M36" i="19" s="1"/>
  <c r="T34" i="9"/>
  <c r="K36" i="19" s="1"/>
  <c r="R34" i="9"/>
  <c r="I36" i="19" s="1"/>
  <c r="V33" i="9"/>
  <c r="M35" i="19" s="1"/>
  <c r="T33" i="9"/>
  <c r="K35" i="19" s="1"/>
  <c r="R33" i="9"/>
  <c r="I35" i="19" s="1"/>
  <c r="V32" i="9"/>
  <c r="M34" i="19" s="1"/>
  <c r="T32" i="9"/>
  <c r="K34" i="19" s="1"/>
  <c r="R32" i="9"/>
  <c r="I34" i="19" s="1"/>
  <c r="V31" i="9"/>
  <c r="M33" i="19" s="1"/>
  <c r="T31" i="9"/>
  <c r="K33" i="19" s="1"/>
  <c r="R31" i="9"/>
  <c r="I33" i="19" s="1"/>
  <c r="V30" i="9"/>
  <c r="M32" i="19" s="1"/>
  <c r="T30" i="9"/>
  <c r="K32" i="19" s="1"/>
  <c r="R30" i="9"/>
  <c r="I32" i="19" s="1"/>
  <c r="V29" i="9"/>
  <c r="M31" i="19" s="1"/>
  <c r="T29" i="9"/>
  <c r="K31" i="19" s="1"/>
  <c r="R29" i="9"/>
  <c r="I31" i="19" s="1"/>
  <c r="V28" i="9"/>
  <c r="M30" i="19" s="1"/>
  <c r="T28" i="9"/>
  <c r="K30" i="19" s="1"/>
  <c r="R28" i="9"/>
  <c r="I30" i="19" s="1"/>
  <c r="V27" i="9"/>
  <c r="M29" i="19" s="1"/>
  <c r="T27" i="9"/>
  <c r="K29" i="19" s="1"/>
  <c r="R27" i="9"/>
  <c r="I29" i="19" s="1"/>
  <c r="V26" i="9"/>
  <c r="M28" i="19" s="1"/>
  <c r="T26" i="9"/>
  <c r="R26" i="9"/>
  <c r="I28" i="19" s="1"/>
  <c r="V25" i="9"/>
  <c r="M27" i="19" s="1"/>
  <c r="T25" i="9"/>
  <c r="K27" i="19" s="1"/>
  <c r="R25" i="9"/>
  <c r="I27" i="19" s="1"/>
  <c r="V24" i="9"/>
  <c r="M26" i="19" s="1"/>
  <c r="T24" i="9"/>
  <c r="K26" i="19" s="1"/>
  <c r="R24" i="9"/>
  <c r="I26" i="19" s="1"/>
  <c r="V23" i="9"/>
  <c r="M25" i="19" s="1"/>
  <c r="T23" i="9"/>
  <c r="K25" i="19" s="1"/>
  <c r="R23" i="9"/>
  <c r="I25" i="19" s="1"/>
  <c r="V22" i="9"/>
  <c r="M24" i="19" s="1"/>
  <c r="T22" i="9"/>
  <c r="K24" i="19" s="1"/>
  <c r="R22" i="9"/>
  <c r="I24" i="19" s="1"/>
  <c r="V21" i="9"/>
  <c r="M23" i="19" s="1"/>
  <c r="T21" i="9"/>
  <c r="K23" i="19" s="1"/>
  <c r="R21" i="9"/>
  <c r="I23" i="19" s="1"/>
  <c r="V20" i="9"/>
  <c r="M22" i="19" s="1"/>
  <c r="T20" i="9"/>
  <c r="K22" i="19" s="1"/>
  <c r="R20" i="9"/>
  <c r="I22" i="19" s="1"/>
  <c r="V19" i="9"/>
  <c r="M21" i="19" s="1"/>
  <c r="T19" i="9"/>
  <c r="K21" i="19" s="1"/>
  <c r="R19" i="9"/>
  <c r="I21" i="19" s="1"/>
  <c r="V18" i="9"/>
  <c r="M20" i="19" s="1"/>
  <c r="T18" i="9"/>
  <c r="K20" i="19" s="1"/>
  <c r="R18" i="9"/>
  <c r="I20" i="19" s="1"/>
  <c r="V17" i="9"/>
  <c r="M19" i="19" s="1"/>
  <c r="T17" i="9"/>
  <c r="K19" i="19" s="1"/>
  <c r="R17" i="9"/>
  <c r="I19" i="19" s="1"/>
  <c r="V16" i="9"/>
  <c r="M18" i="19" s="1"/>
  <c r="T16" i="9"/>
  <c r="K18" i="19" s="1"/>
  <c r="R16" i="9"/>
  <c r="I18" i="19" s="1"/>
  <c r="V15" i="9"/>
  <c r="M17" i="19" s="1"/>
  <c r="T15" i="9"/>
  <c r="K17" i="19" s="1"/>
  <c r="R15" i="9"/>
  <c r="I17" i="19" s="1"/>
  <c r="V14" i="9"/>
  <c r="M16" i="19" s="1"/>
  <c r="T14" i="9"/>
  <c r="K16" i="19" s="1"/>
  <c r="R14" i="9"/>
  <c r="I16" i="19" s="1"/>
  <c r="V13" i="9"/>
  <c r="M15" i="19" s="1"/>
  <c r="T13" i="9"/>
  <c r="K15" i="19" s="1"/>
  <c r="R13" i="9"/>
  <c r="I15" i="19" s="1"/>
  <c r="V12" i="9"/>
  <c r="M14" i="19" s="1"/>
  <c r="T12" i="9"/>
  <c r="K14" i="19" s="1"/>
  <c r="R12" i="9"/>
  <c r="I14" i="19" s="1"/>
  <c r="V11" i="9"/>
  <c r="M13" i="19" s="1"/>
  <c r="T11" i="9"/>
  <c r="K13" i="19" s="1"/>
  <c r="V76" i="9"/>
  <c r="R10" i="9"/>
  <c r="I12" i="19" s="1"/>
  <c r="T10" i="9"/>
  <c r="K12" i="19" s="1"/>
  <c r="V10" i="9"/>
  <c r="M12" i="19" s="1"/>
  <c r="Q10" i="9"/>
  <c r="H12" i="19" s="1"/>
  <c r="S10" i="9"/>
  <c r="J12" i="19" s="1"/>
  <c r="U10" i="9"/>
  <c r="L12" i="19" s="1"/>
  <c r="AD87" i="9"/>
  <c r="AC88" i="9"/>
  <c r="AD88" i="9" s="1"/>
  <c r="J102" i="9"/>
  <c r="D30" i="9" s="1"/>
  <c r="J104" i="9"/>
  <c r="D33" i="9" s="1"/>
  <c r="Z29" i="6"/>
  <c r="Z28" i="6"/>
  <c r="I49" i="24" l="1"/>
  <c r="K33" i="22" s="1"/>
  <c r="U90" i="9"/>
  <c r="U91" i="9" s="1"/>
  <c r="Q91" i="9" s="1"/>
  <c r="AD35" i="23"/>
  <c r="Z36" i="23" s="1"/>
  <c r="X24" i="24"/>
  <c r="R23" i="24" s="1"/>
  <c r="R53" i="24" s="1"/>
  <c r="AF11" i="23"/>
  <c r="AF12" i="23" s="1"/>
  <c r="AD36" i="23"/>
  <c r="E26" i="24"/>
  <c r="E47" i="23"/>
  <c r="E52" i="23" s="1"/>
  <c r="I49" i="23" s="1"/>
  <c r="K34" i="22" s="1"/>
  <c r="Y11" i="23"/>
  <c r="AF10" i="24"/>
  <c r="AF12" i="24" s="1"/>
  <c r="Y8" i="6"/>
  <c r="AF8" i="6"/>
  <c r="E26" i="23"/>
  <c r="CO42" i="9"/>
  <c r="J33" i="22" s="1"/>
  <c r="E30" i="23"/>
  <c r="E32" i="23" s="1"/>
  <c r="J32" i="23" s="1"/>
  <c r="W23" i="3"/>
  <c r="X23" i="3"/>
  <c r="K87" i="9"/>
  <c r="D9" i="20"/>
  <c r="W31" i="3"/>
  <c r="X31" i="3"/>
  <c r="W19" i="3"/>
  <c r="X19" i="3"/>
  <c r="W35" i="3"/>
  <c r="X35" i="3"/>
  <c r="W18" i="3"/>
  <c r="X18" i="3"/>
  <c r="W26" i="3"/>
  <c r="X26" i="3"/>
  <c r="W34" i="3"/>
  <c r="X34" i="3"/>
  <c r="W42" i="3"/>
  <c r="X42" i="3"/>
  <c r="W50" i="3"/>
  <c r="X50" i="3"/>
  <c r="D87" i="9"/>
  <c r="W39" i="3"/>
  <c r="X39" i="3"/>
  <c r="S90" i="9"/>
  <c r="Q90" i="9" s="1"/>
  <c r="Q93" i="9" s="1"/>
  <c r="J59" i="9" s="1"/>
  <c r="J60" i="9" s="1"/>
  <c r="J61" i="9" s="1"/>
  <c r="J62" i="9" s="1"/>
  <c r="J63" i="9" s="1"/>
  <c r="J64" i="9" s="1"/>
  <c r="J65" i="9" s="1"/>
  <c r="J66" i="9" s="1"/>
  <c r="J67" i="9" s="1"/>
  <c r="J68" i="9" s="1"/>
  <c r="J69" i="9" s="1"/>
  <c r="W27" i="3"/>
  <c r="X27" i="3"/>
  <c r="W47" i="3"/>
  <c r="X47" i="3"/>
  <c r="D86" i="9"/>
  <c r="X14" i="3"/>
  <c r="X13" i="3"/>
  <c r="W13" i="3"/>
  <c r="K86" i="9"/>
  <c r="CA38" i="9"/>
  <c r="CB38" i="9" s="1"/>
  <c r="BX37" i="9" s="1"/>
  <c r="E30" i="22"/>
  <c r="I9" i="9"/>
  <c r="M9" i="20" s="1"/>
  <c r="E13" i="20"/>
  <c r="BT11" i="3"/>
  <c r="BT12" i="3"/>
  <c r="BT13" i="3"/>
  <c r="BT14" i="3"/>
  <c r="BT15" i="3"/>
  <c r="BT16" i="3"/>
  <c r="BT17" i="3"/>
  <c r="BT18" i="3"/>
  <c r="BT19" i="3"/>
  <c r="BT20" i="3"/>
  <c r="BT21" i="3"/>
  <c r="BT22" i="3"/>
  <c r="BT23" i="3"/>
  <c r="BT24" i="3"/>
  <c r="BT25" i="3"/>
  <c r="BT26" i="3"/>
  <c r="BT27" i="3"/>
  <c r="BT28" i="3"/>
  <c r="BT29" i="3"/>
  <c r="BT30" i="3"/>
  <c r="BT31" i="3"/>
  <c r="BT32" i="3"/>
  <c r="BT33" i="3"/>
  <c r="BT34" i="3"/>
  <c r="BT35" i="3"/>
  <c r="BT36" i="3"/>
  <c r="BT37" i="3"/>
  <c r="BT38" i="3"/>
  <c r="BT39" i="3"/>
  <c r="BT40" i="3"/>
  <c r="BT41" i="3"/>
  <c r="BT42" i="3"/>
  <c r="BT43" i="3"/>
  <c r="BT44" i="3"/>
  <c r="BT45" i="3"/>
  <c r="BT46" i="3"/>
  <c r="BT47" i="3"/>
  <c r="BT48" i="3"/>
  <c r="BT49" i="3"/>
  <c r="BT50" i="3"/>
  <c r="BT51" i="3"/>
  <c r="BT52" i="3"/>
  <c r="BT53" i="3"/>
  <c r="BT54" i="3"/>
  <c r="BT10" i="3"/>
  <c r="BM10" i="3"/>
  <c r="AK10" i="9" s="1"/>
  <c r="BM11" i="3"/>
  <c r="AK11" i="9" s="1"/>
  <c r="BM12" i="3"/>
  <c r="AK12" i="9" s="1"/>
  <c r="BM13" i="3"/>
  <c r="AK13" i="9" s="1"/>
  <c r="BM14" i="3"/>
  <c r="AK14" i="9" s="1"/>
  <c r="BM15" i="3"/>
  <c r="AK15" i="9" s="1"/>
  <c r="BM16" i="3"/>
  <c r="AK16" i="9" s="1"/>
  <c r="BM17" i="3"/>
  <c r="AK17" i="9" s="1"/>
  <c r="BM18" i="3"/>
  <c r="AK18" i="9" s="1"/>
  <c r="BM19" i="3"/>
  <c r="AK19" i="9" s="1"/>
  <c r="BM29" i="3"/>
  <c r="AK29" i="9" s="1"/>
  <c r="BM30" i="3"/>
  <c r="AK30" i="9" s="1"/>
  <c r="BM31" i="3"/>
  <c r="AK31" i="9" s="1"/>
  <c r="BM32" i="3"/>
  <c r="AK32" i="9" s="1"/>
  <c r="BM33" i="3"/>
  <c r="AK33" i="9" s="1"/>
  <c r="BM34" i="3"/>
  <c r="AK34" i="9" s="1"/>
  <c r="BM35" i="3"/>
  <c r="AK35" i="9" s="1"/>
  <c r="BM36" i="3"/>
  <c r="AK36" i="9" s="1"/>
  <c r="BM37" i="3"/>
  <c r="AK37" i="9" s="1"/>
  <c r="BM38" i="3"/>
  <c r="AK38" i="9" s="1"/>
  <c r="BM39" i="3"/>
  <c r="AK39" i="9" s="1"/>
  <c r="BM40" i="3"/>
  <c r="AK40" i="9" s="1"/>
  <c r="BM41" i="3"/>
  <c r="AK41" i="9" s="1"/>
  <c r="BM42" i="3"/>
  <c r="AK42" i="9" s="1"/>
  <c r="BM43" i="3"/>
  <c r="AK43" i="9" s="1"/>
  <c r="BM44" i="3"/>
  <c r="AK44" i="9" s="1"/>
  <c r="BM45" i="3"/>
  <c r="AK45" i="9" s="1"/>
  <c r="BM46" i="3"/>
  <c r="AK46" i="9" s="1"/>
  <c r="BM47" i="3"/>
  <c r="AK47" i="9" s="1"/>
  <c r="BM48" i="3"/>
  <c r="AK48" i="9" s="1"/>
  <c r="BM49" i="3"/>
  <c r="AK49" i="9" s="1"/>
  <c r="BM50" i="3"/>
  <c r="AK50" i="9" s="1"/>
  <c r="BM51" i="3"/>
  <c r="AK51" i="9" s="1"/>
  <c r="BM52" i="3"/>
  <c r="AK52" i="9" s="1"/>
  <c r="BM53" i="3"/>
  <c r="AK53" i="9" s="1"/>
  <c r="BM54" i="3"/>
  <c r="AK54" i="9" s="1"/>
  <c r="BM20" i="3"/>
  <c r="AK20" i="9" s="1"/>
  <c r="BM22" i="3"/>
  <c r="AK22" i="9" s="1"/>
  <c r="BM24" i="3"/>
  <c r="AK24" i="9" s="1"/>
  <c r="BM26" i="3"/>
  <c r="AK26" i="9" s="1"/>
  <c r="BM28" i="3"/>
  <c r="AK28" i="9" s="1"/>
  <c r="BM21" i="3"/>
  <c r="AK21" i="9" s="1"/>
  <c r="BM23" i="3"/>
  <c r="AK23" i="9" s="1"/>
  <c r="BM25" i="3"/>
  <c r="AK25" i="9" s="1"/>
  <c r="BM27" i="3"/>
  <c r="AK27" i="9" s="1"/>
  <c r="BV11" i="3"/>
  <c r="BV12" i="3"/>
  <c r="BV13" i="3"/>
  <c r="BV14" i="3"/>
  <c r="BV15" i="3"/>
  <c r="BV16" i="3"/>
  <c r="BV17" i="3"/>
  <c r="BV18" i="3"/>
  <c r="BV19" i="3"/>
  <c r="BV20" i="3"/>
  <c r="BV21" i="3"/>
  <c r="BV22" i="3"/>
  <c r="BV23" i="3"/>
  <c r="BV24" i="3"/>
  <c r="BV25" i="3"/>
  <c r="BV26" i="3"/>
  <c r="BV27" i="3"/>
  <c r="BV28" i="3"/>
  <c r="BV29" i="3"/>
  <c r="BV30" i="3"/>
  <c r="BV31" i="3"/>
  <c r="BV32" i="3"/>
  <c r="BV33" i="3"/>
  <c r="BV34" i="3"/>
  <c r="BV35" i="3"/>
  <c r="BV36" i="3"/>
  <c r="BV37" i="3"/>
  <c r="BV38" i="3"/>
  <c r="BV39" i="3"/>
  <c r="BV40" i="3"/>
  <c r="BV41" i="3"/>
  <c r="BV42" i="3"/>
  <c r="BV43" i="3"/>
  <c r="BV44" i="3"/>
  <c r="BV45" i="3"/>
  <c r="BV46" i="3"/>
  <c r="BV47" i="3"/>
  <c r="BV48" i="3"/>
  <c r="BV49" i="3"/>
  <c r="BV50" i="3"/>
  <c r="BV51" i="3"/>
  <c r="BV52" i="3"/>
  <c r="BV53" i="3"/>
  <c r="BV54" i="3"/>
  <c r="BV10" i="3"/>
  <c r="BH35" i="3"/>
  <c r="AZ35" i="3" s="1"/>
  <c r="BH37" i="3"/>
  <c r="AZ37" i="3" s="1"/>
  <c r="BH41" i="3"/>
  <c r="AZ41" i="3" s="1"/>
  <c r="BH45" i="3"/>
  <c r="AZ45" i="3" s="1"/>
  <c r="BH49" i="3"/>
  <c r="AZ49" i="3" s="1"/>
  <c r="BH53" i="3"/>
  <c r="AZ53" i="3" s="1"/>
  <c r="BH33" i="3"/>
  <c r="AZ33" i="3" s="1"/>
  <c r="BH39" i="3"/>
  <c r="AZ39" i="3" s="1"/>
  <c r="BH43" i="3"/>
  <c r="AZ43" i="3" s="1"/>
  <c r="BH47" i="3"/>
  <c r="AZ47" i="3" s="1"/>
  <c r="BH51" i="3"/>
  <c r="AZ51" i="3" s="1"/>
  <c r="BH12" i="3"/>
  <c r="AZ12" i="3" s="1"/>
  <c r="BH16" i="3"/>
  <c r="AZ16" i="3" s="1"/>
  <c r="BH20" i="3"/>
  <c r="AZ20" i="3" s="1"/>
  <c r="BH24" i="3"/>
  <c r="AZ24" i="3" s="1"/>
  <c r="BH29" i="3"/>
  <c r="AZ29" i="3" s="1"/>
  <c r="BO21" i="3"/>
  <c r="AM21" i="9" s="1"/>
  <c r="BO23" i="3"/>
  <c r="AM23" i="9" s="1"/>
  <c r="BO25" i="3"/>
  <c r="AM25" i="9" s="1"/>
  <c r="BO27" i="3"/>
  <c r="AM27" i="9" s="1"/>
  <c r="BH26" i="3"/>
  <c r="AZ26" i="3" s="1"/>
  <c r="BH13" i="3"/>
  <c r="AZ13" i="3" s="1"/>
  <c r="BH17" i="3"/>
  <c r="AZ17" i="3" s="1"/>
  <c r="BH21" i="3"/>
  <c r="AZ21" i="3" s="1"/>
  <c r="BH25" i="3"/>
  <c r="AZ25" i="3" s="1"/>
  <c r="BH30" i="3"/>
  <c r="AZ30" i="3" s="1"/>
  <c r="BH34" i="3"/>
  <c r="AZ34" i="3" s="1"/>
  <c r="BH38" i="3"/>
  <c r="AZ38" i="3" s="1"/>
  <c r="BH42" i="3"/>
  <c r="AZ42" i="3" s="1"/>
  <c r="BH46" i="3"/>
  <c r="AZ46" i="3" s="1"/>
  <c r="BH50" i="3"/>
  <c r="AZ50" i="3" s="1"/>
  <c r="BH54" i="3"/>
  <c r="AZ54" i="3" s="1"/>
  <c r="BO10" i="3"/>
  <c r="AM10" i="9" s="1"/>
  <c r="BO11" i="3"/>
  <c r="AM11" i="9" s="1"/>
  <c r="BO12" i="3"/>
  <c r="AM12" i="9" s="1"/>
  <c r="BO13" i="3"/>
  <c r="AM13" i="9" s="1"/>
  <c r="BO14" i="3"/>
  <c r="AM14" i="9" s="1"/>
  <c r="BO15" i="3"/>
  <c r="AM15" i="9" s="1"/>
  <c r="BO16" i="3"/>
  <c r="AM16" i="9" s="1"/>
  <c r="BO17" i="3"/>
  <c r="AM17" i="9" s="1"/>
  <c r="BO18" i="3"/>
  <c r="AM18" i="9" s="1"/>
  <c r="BO19" i="3"/>
  <c r="AM19" i="9" s="1"/>
  <c r="BO29" i="3"/>
  <c r="AM29" i="9" s="1"/>
  <c r="BO30" i="3"/>
  <c r="AM30" i="9" s="1"/>
  <c r="BO31" i="3"/>
  <c r="AM31" i="9" s="1"/>
  <c r="BO32" i="3"/>
  <c r="AM32" i="9" s="1"/>
  <c r="BO33" i="3"/>
  <c r="AM33" i="9" s="1"/>
  <c r="BO34" i="3"/>
  <c r="AM34" i="9" s="1"/>
  <c r="BO35" i="3"/>
  <c r="AM35" i="9" s="1"/>
  <c r="BO36" i="3"/>
  <c r="AM36" i="9" s="1"/>
  <c r="BO37" i="3"/>
  <c r="AM37" i="9" s="1"/>
  <c r="BO38" i="3"/>
  <c r="AM38" i="9" s="1"/>
  <c r="BO39" i="3"/>
  <c r="AM39" i="9" s="1"/>
  <c r="BO40" i="3"/>
  <c r="AM40" i="9" s="1"/>
  <c r="BO41" i="3"/>
  <c r="AM41" i="9" s="1"/>
  <c r="BO42" i="3"/>
  <c r="AM42" i="9" s="1"/>
  <c r="BO43" i="3"/>
  <c r="AM43" i="9" s="1"/>
  <c r="BO44" i="3"/>
  <c r="AM44" i="9" s="1"/>
  <c r="BO45" i="3"/>
  <c r="AM45" i="9" s="1"/>
  <c r="BO46" i="3"/>
  <c r="AM46" i="9" s="1"/>
  <c r="BO47" i="3"/>
  <c r="AM47" i="9" s="1"/>
  <c r="BO48" i="3"/>
  <c r="AM48" i="9" s="1"/>
  <c r="BO49" i="3"/>
  <c r="AM49" i="9" s="1"/>
  <c r="BO50" i="3"/>
  <c r="AM50" i="9" s="1"/>
  <c r="BO51" i="3"/>
  <c r="AM51" i="9" s="1"/>
  <c r="BO52" i="3"/>
  <c r="AM52" i="9" s="1"/>
  <c r="BO53" i="3"/>
  <c r="AM53" i="9" s="1"/>
  <c r="BO54" i="3"/>
  <c r="AM54" i="9" s="1"/>
  <c r="BO20" i="3"/>
  <c r="AM20" i="9" s="1"/>
  <c r="BO22" i="3"/>
  <c r="AM22" i="9" s="1"/>
  <c r="BO24" i="3"/>
  <c r="AM24" i="9" s="1"/>
  <c r="BO26" i="3"/>
  <c r="AM26" i="9" s="1"/>
  <c r="BO28" i="3"/>
  <c r="AM28" i="9" s="1"/>
  <c r="BH10" i="3"/>
  <c r="AZ10" i="3" s="1"/>
  <c r="BH14" i="3"/>
  <c r="AZ14" i="3" s="1"/>
  <c r="BH18" i="3"/>
  <c r="AZ18" i="3" s="1"/>
  <c r="BH22" i="3"/>
  <c r="AZ22" i="3" s="1"/>
  <c r="BH27" i="3"/>
  <c r="AZ27" i="3" s="1"/>
  <c r="BH31" i="3"/>
  <c r="AZ31" i="3" s="1"/>
  <c r="BH11" i="3"/>
  <c r="AZ11" i="3" s="1"/>
  <c r="BH15" i="3"/>
  <c r="AZ15" i="3" s="1"/>
  <c r="BH19" i="3"/>
  <c r="AZ19" i="3" s="1"/>
  <c r="BH23" i="3"/>
  <c r="AZ23" i="3" s="1"/>
  <c r="BH28" i="3"/>
  <c r="AZ28" i="3" s="1"/>
  <c r="BH32" i="3"/>
  <c r="AZ32" i="3" s="1"/>
  <c r="BH36" i="3"/>
  <c r="AZ36" i="3" s="1"/>
  <c r="BH40" i="3"/>
  <c r="AZ40" i="3" s="1"/>
  <c r="BH44" i="3"/>
  <c r="AZ44" i="3" s="1"/>
  <c r="BH48" i="3"/>
  <c r="AZ48" i="3" s="1"/>
  <c r="BH52" i="3"/>
  <c r="AZ52" i="3" s="1"/>
  <c r="BU10" i="3"/>
  <c r="BU11" i="3"/>
  <c r="BU12" i="3"/>
  <c r="BU13" i="3"/>
  <c r="BU14" i="3"/>
  <c r="BU15" i="3"/>
  <c r="BU16" i="3"/>
  <c r="BU17" i="3"/>
  <c r="BU18" i="3"/>
  <c r="BU19" i="3"/>
  <c r="BU20" i="3"/>
  <c r="BU21" i="3"/>
  <c r="BU22" i="3"/>
  <c r="BU23" i="3"/>
  <c r="BU24" i="3"/>
  <c r="BU25" i="3"/>
  <c r="BU26" i="3"/>
  <c r="BU27" i="3"/>
  <c r="BU28" i="3"/>
  <c r="BU29" i="3"/>
  <c r="BU30" i="3"/>
  <c r="BU31" i="3"/>
  <c r="BU32" i="3"/>
  <c r="BU33" i="3"/>
  <c r="BU34" i="3"/>
  <c r="BU35" i="3"/>
  <c r="BU36" i="3"/>
  <c r="BU37" i="3"/>
  <c r="BU38" i="3"/>
  <c r="BU39" i="3"/>
  <c r="BU40" i="3"/>
  <c r="BU41" i="3"/>
  <c r="BU42" i="3"/>
  <c r="BU43" i="3"/>
  <c r="BU44" i="3"/>
  <c r="BU45" i="3"/>
  <c r="BU46" i="3"/>
  <c r="BU47" i="3"/>
  <c r="BU48" i="3"/>
  <c r="BU49" i="3"/>
  <c r="BU50" i="3"/>
  <c r="BU51" i="3"/>
  <c r="BU52" i="3"/>
  <c r="BU53" i="3"/>
  <c r="BU54" i="3"/>
  <c r="BN10" i="3"/>
  <c r="AL10" i="9" s="1"/>
  <c r="BN11" i="3"/>
  <c r="AL11" i="9" s="1"/>
  <c r="BN12" i="3"/>
  <c r="AL12" i="9" s="1"/>
  <c r="BN13" i="3"/>
  <c r="AL13" i="9" s="1"/>
  <c r="BN14" i="3"/>
  <c r="AL14" i="9" s="1"/>
  <c r="BN15" i="3"/>
  <c r="AL15" i="9" s="1"/>
  <c r="BN16" i="3"/>
  <c r="AL16" i="9" s="1"/>
  <c r="BN17" i="3"/>
  <c r="AL17" i="9" s="1"/>
  <c r="BN18" i="3"/>
  <c r="AL18" i="9" s="1"/>
  <c r="BN19" i="3"/>
  <c r="AL19" i="9" s="1"/>
  <c r="BN29" i="3"/>
  <c r="AL29" i="9" s="1"/>
  <c r="BN31" i="3"/>
  <c r="AL31" i="9" s="1"/>
  <c r="BN33" i="3"/>
  <c r="AL33" i="9" s="1"/>
  <c r="BN35" i="3"/>
  <c r="AL35" i="9" s="1"/>
  <c r="BN37" i="3"/>
  <c r="AL37" i="9" s="1"/>
  <c r="BN39" i="3"/>
  <c r="AL39" i="9" s="1"/>
  <c r="BN41" i="3"/>
  <c r="AL41" i="9" s="1"/>
  <c r="BN43" i="3"/>
  <c r="AL43" i="9" s="1"/>
  <c r="BN45" i="3"/>
  <c r="AL45" i="9" s="1"/>
  <c r="BN47" i="3"/>
  <c r="AL47" i="9" s="1"/>
  <c r="BN49" i="3"/>
  <c r="AL49" i="9" s="1"/>
  <c r="BN51" i="3"/>
  <c r="AL51" i="9" s="1"/>
  <c r="BN53" i="3"/>
  <c r="AL53" i="9" s="1"/>
  <c r="BN21" i="3"/>
  <c r="AL21" i="9" s="1"/>
  <c r="BN23" i="3"/>
  <c r="AL23" i="9" s="1"/>
  <c r="BN25" i="3"/>
  <c r="AL25" i="9" s="1"/>
  <c r="BN27" i="3"/>
  <c r="AL27" i="9" s="1"/>
  <c r="BN30" i="3"/>
  <c r="AL30" i="9" s="1"/>
  <c r="BN32" i="3"/>
  <c r="AL32" i="9" s="1"/>
  <c r="BN34" i="3"/>
  <c r="AL34" i="9" s="1"/>
  <c r="BN36" i="3"/>
  <c r="AL36" i="9" s="1"/>
  <c r="BN38" i="3"/>
  <c r="AL38" i="9" s="1"/>
  <c r="BN40" i="3"/>
  <c r="AL40" i="9" s="1"/>
  <c r="BN42" i="3"/>
  <c r="AL42" i="9" s="1"/>
  <c r="BN44" i="3"/>
  <c r="AL44" i="9" s="1"/>
  <c r="BN46" i="3"/>
  <c r="AL46" i="9" s="1"/>
  <c r="BN48" i="3"/>
  <c r="AL48" i="9" s="1"/>
  <c r="BN50" i="3"/>
  <c r="AL50" i="9" s="1"/>
  <c r="BN52" i="3"/>
  <c r="AL52" i="9" s="1"/>
  <c r="BN54" i="3"/>
  <c r="AL54" i="9" s="1"/>
  <c r="BN20" i="3"/>
  <c r="AL20" i="9" s="1"/>
  <c r="BN22" i="3"/>
  <c r="AL22" i="9" s="1"/>
  <c r="BN24" i="3"/>
  <c r="AL24" i="9" s="1"/>
  <c r="BN26" i="3"/>
  <c r="AL26" i="9" s="1"/>
  <c r="BN28" i="3"/>
  <c r="AL28" i="9" s="1"/>
  <c r="BR11" i="3"/>
  <c r="BR12" i="3"/>
  <c r="BR13" i="3"/>
  <c r="BR14" i="3"/>
  <c r="BR15" i="3"/>
  <c r="BR16" i="3"/>
  <c r="BR17" i="3"/>
  <c r="BR18" i="3"/>
  <c r="BR19" i="3"/>
  <c r="BR20" i="3"/>
  <c r="BR21" i="3"/>
  <c r="BR22" i="3"/>
  <c r="BR23" i="3"/>
  <c r="BR24" i="3"/>
  <c r="BR25" i="3"/>
  <c r="BR26" i="3"/>
  <c r="BR27" i="3"/>
  <c r="BR28" i="3"/>
  <c r="BR29" i="3"/>
  <c r="BR30" i="3"/>
  <c r="BR31" i="3"/>
  <c r="BR32" i="3"/>
  <c r="BR33" i="3"/>
  <c r="BR34" i="3"/>
  <c r="BR35" i="3"/>
  <c r="BR36" i="3"/>
  <c r="BR37" i="3"/>
  <c r="BR38" i="3"/>
  <c r="BR39" i="3"/>
  <c r="BR40" i="3"/>
  <c r="BR41" i="3"/>
  <c r="BR42" i="3"/>
  <c r="BR43" i="3"/>
  <c r="BR44" i="3"/>
  <c r="BR45" i="3"/>
  <c r="BR46" i="3"/>
  <c r="BR47" i="3"/>
  <c r="BR48" i="3"/>
  <c r="BR49" i="3"/>
  <c r="BR50" i="3"/>
  <c r="BR51" i="3"/>
  <c r="BR52" i="3"/>
  <c r="BR53" i="3"/>
  <c r="BR54" i="3"/>
  <c r="BR10" i="3"/>
  <c r="BK10" i="3"/>
  <c r="AI10" i="9" s="1"/>
  <c r="BK11" i="3"/>
  <c r="AI11" i="9" s="1"/>
  <c r="BK12" i="3"/>
  <c r="AI12" i="9" s="1"/>
  <c r="BK13" i="3"/>
  <c r="AI13" i="9" s="1"/>
  <c r="BK14" i="3"/>
  <c r="AI14" i="9" s="1"/>
  <c r="BK15" i="3"/>
  <c r="AI15" i="9" s="1"/>
  <c r="BK16" i="3"/>
  <c r="AI16" i="9" s="1"/>
  <c r="BK17" i="3"/>
  <c r="AI17" i="9" s="1"/>
  <c r="BK18" i="3"/>
  <c r="AI18" i="9" s="1"/>
  <c r="BK19" i="3"/>
  <c r="AI19" i="9" s="1"/>
  <c r="BK29" i="3"/>
  <c r="AI29" i="9" s="1"/>
  <c r="BK30" i="3"/>
  <c r="AI30" i="9" s="1"/>
  <c r="BK31" i="3"/>
  <c r="AI31" i="9" s="1"/>
  <c r="BK32" i="3"/>
  <c r="AI32" i="9" s="1"/>
  <c r="BK33" i="3"/>
  <c r="AI33" i="9" s="1"/>
  <c r="BK34" i="3"/>
  <c r="AI34" i="9" s="1"/>
  <c r="BK35" i="3"/>
  <c r="AI35" i="9" s="1"/>
  <c r="BK36" i="3"/>
  <c r="AI36" i="9" s="1"/>
  <c r="BK37" i="3"/>
  <c r="AI37" i="9" s="1"/>
  <c r="BK38" i="3"/>
  <c r="AI38" i="9" s="1"/>
  <c r="BK39" i="3"/>
  <c r="AI39" i="9" s="1"/>
  <c r="BK40" i="3"/>
  <c r="AI40" i="9" s="1"/>
  <c r="BK41" i="3"/>
  <c r="AI41" i="9" s="1"/>
  <c r="BK42" i="3"/>
  <c r="AI42" i="9" s="1"/>
  <c r="BK43" i="3"/>
  <c r="AI43" i="9" s="1"/>
  <c r="BK44" i="3"/>
  <c r="AI44" i="9" s="1"/>
  <c r="BK45" i="3"/>
  <c r="AI45" i="9" s="1"/>
  <c r="BK46" i="3"/>
  <c r="AI46" i="9" s="1"/>
  <c r="BK47" i="3"/>
  <c r="AI47" i="9" s="1"/>
  <c r="BK48" i="3"/>
  <c r="AI48" i="9" s="1"/>
  <c r="BK49" i="3"/>
  <c r="AI49" i="9" s="1"/>
  <c r="BK50" i="3"/>
  <c r="AI50" i="9" s="1"/>
  <c r="BK51" i="3"/>
  <c r="AI51" i="9" s="1"/>
  <c r="BK52" i="3"/>
  <c r="AI52" i="9" s="1"/>
  <c r="BK53" i="3"/>
  <c r="AI53" i="9" s="1"/>
  <c r="BK54" i="3"/>
  <c r="AI54" i="9" s="1"/>
  <c r="BK20" i="3"/>
  <c r="AI20" i="9" s="1"/>
  <c r="BK22" i="3"/>
  <c r="AI22" i="9" s="1"/>
  <c r="BK24" i="3"/>
  <c r="AI24" i="9" s="1"/>
  <c r="BK26" i="3"/>
  <c r="AI26" i="9" s="1"/>
  <c r="BK28" i="3"/>
  <c r="AI28" i="9" s="1"/>
  <c r="BK21" i="3"/>
  <c r="AI21" i="9" s="1"/>
  <c r="BK23" i="3"/>
  <c r="AI23" i="9" s="1"/>
  <c r="BK25" i="3"/>
  <c r="AI25" i="9" s="1"/>
  <c r="BK27" i="3"/>
  <c r="AI27" i="9" s="1"/>
  <c r="BW10" i="3"/>
  <c r="BW11" i="3"/>
  <c r="BW12" i="3"/>
  <c r="BW13" i="3"/>
  <c r="BW14" i="3"/>
  <c r="BW15" i="3"/>
  <c r="BW16" i="3"/>
  <c r="BW17" i="3"/>
  <c r="BW18" i="3"/>
  <c r="BW19" i="3"/>
  <c r="BW20" i="3"/>
  <c r="BW21" i="3"/>
  <c r="BW22" i="3"/>
  <c r="BW23" i="3"/>
  <c r="BW24" i="3"/>
  <c r="BW25" i="3"/>
  <c r="BW26" i="3"/>
  <c r="BW27" i="3"/>
  <c r="BW28" i="3"/>
  <c r="BW29" i="3"/>
  <c r="BW30" i="3"/>
  <c r="BW31" i="3"/>
  <c r="BW32" i="3"/>
  <c r="BW33" i="3"/>
  <c r="BW34" i="3"/>
  <c r="BW35" i="3"/>
  <c r="BW36" i="3"/>
  <c r="BW37" i="3"/>
  <c r="BW38" i="3"/>
  <c r="BW39" i="3"/>
  <c r="BW40" i="3"/>
  <c r="BW41" i="3"/>
  <c r="BW42" i="3"/>
  <c r="BW43" i="3"/>
  <c r="BW44" i="3"/>
  <c r="BW45" i="3"/>
  <c r="BW46" i="3"/>
  <c r="BW47" i="3"/>
  <c r="BW48" i="3"/>
  <c r="BW49" i="3"/>
  <c r="BW50" i="3"/>
  <c r="BW51" i="3"/>
  <c r="BW52" i="3"/>
  <c r="BW53" i="3"/>
  <c r="BW54" i="3"/>
  <c r="BP31" i="3"/>
  <c r="AN31" i="9" s="1"/>
  <c r="BP28" i="3"/>
  <c r="AN28" i="9" s="1"/>
  <c r="BP24" i="3"/>
  <c r="AN24" i="9" s="1"/>
  <c r="BP20" i="3"/>
  <c r="AN20" i="9" s="1"/>
  <c r="BP54" i="3"/>
  <c r="AN54" i="9" s="1"/>
  <c r="BP51" i="3"/>
  <c r="AN51" i="9" s="1"/>
  <c r="BP45" i="3"/>
  <c r="AN45" i="9" s="1"/>
  <c r="BP43" i="3"/>
  <c r="AN43" i="9" s="1"/>
  <c r="BP39" i="3"/>
  <c r="AN39" i="9" s="1"/>
  <c r="BP35" i="3"/>
  <c r="AN35" i="9" s="1"/>
  <c r="BP10" i="3"/>
  <c r="AN10" i="9" s="1"/>
  <c r="BP11" i="3"/>
  <c r="AN11" i="9" s="1"/>
  <c r="BP12" i="3"/>
  <c r="AN12" i="9" s="1"/>
  <c r="BP13" i="3"/>
  <c r="AN13" i="9" s="1"/>
  <c r="BP14" i="3"/>
  <c r="AN14" i="9" s="1"/>
  <c r="BP15" i="3"/>
  <c r="AN15" i="9" s="1"/>
  <c r="BP16" i="3"/>
  <c r="AN16" i="9" s="1"/>
  <c r="BP17" i="3"/>
  <c r="AN17" i="9" s="1"/>
  <c r="BP18" i="3"/>
  <c r="AN18" i="9" s="1"/>
  <c r="BP19" i="3"/>
  <c r="AN19" i="9" s="1"/>
  <c r="BP29" i="3"/>
  <c r="AN29" i="9" s="1"/>
  <c r="BP27" i="3"/>
  <c r="AN27" i="9" s="1"/>
  <c r="BP25" i="3"/>
  <c r="AN25" i="9" s="1"/>
  <c r="BP23" i="3"/>
  <c r="AN23" i="9" s="1"/>
  <c r="BP21" i="3"/>
  <c r="AN21" i="9" s="1"/>
  <c r="BP52" i="3"/>
  <c r="AN52" i="9" s="1"/>
  <c r="BP50" i="3"/>
  <c r="AN50" i="9" s="1"/>
  <c r="BP48" i="3"/>
  <c r="AN48" i="9" s="1"/>
  <c r="BP46" i="3"/>
  <c r="AN46" i="9" s="1"/>
  <c r="BP44" i="3"/>
  <c r="AN44" i="9" s="1"/>
  <c r="BP42" i="3"/>
  <c r="AN42" i="9" s="1"/>
  <c r="BP40" i="3"/>
  <c r="AN40" i="9" s="1"/>
  <c r="BP38" i="3"/>
  <c r="AN38" i="9" s="1"/>
  <c r="BP36" i="3"/>
  <c r="AN36" i="9" s="1"/>
  <c r="BP34" i="3"/>
  <c r="AN34" i="9" s="1"/>
  <c r="BP32" i="3"/>
  <c r="AN32" i="9" s="1"/>
  <c r="BP30" i="3"/>
  <c r="AN30" i="9" s="1"/>
  <c r="BP26" i="3"/>
  <c r="AN26" i="9" s="1"/>
  <c r="BP22" i="3"/>
  <c r="AN22" i="9" s="1"/>
  <c r="BP53" i="3"/>
  <c r="AN53" i="9" s="1"/>
  <c r="BP49" i="3"/>
  <c r="AN49" i="9" s="1"/>
  <c r="BP47" i="3"/>
  <c r="AN47" i="9" s="1"/>
  <c r="BP41" i="3"/>
  <c r="AN41" i="9" s="1"/>
  <c r="BP37" i="3"/>
  <c r="AN37" i="9" s="1"/>
  <c r="BP33" i="3"/>
  <c r="AN33" i="9" s="1"/>
  <c r="BS10" i="3"/>
  <c r="BS11" i="3"/>
  <c r="BS12" i="3"/>
  <c r="BS13" i="3"/>
  <c r="BS14" i="3"/>
  <c r="BS15" i="3"/>
  <c r="BS16" i="3"/>
  <c r="BS17" i="3"/>
  <c r="BS18" i="3"/>
  <c r="BS19" i="3"/>
  <c r="BS20" i="3"/>
  <c r="BS21" i="3"/>
  <c r="BS22" i="3"/>
  <c r="BS23" i="3"/>
  <c r="BS24" i="3"/>
  <c r="BS25" i="3"/>
  <c r="BS26" i="3"/>
  <c r="BS27" i="3"/>
  <c r="BS28" i="3"/>
  <c r="BS29" i="3"/>
  <c r="BS30" i="3"/>
  <c r="BS31" i="3"/>
  <c r="BS32" i="3"/>
  <c r="BS33" i="3"/>
  <c r="BS34" i="3"/>
  <c r="BS35" i="3"/>
  <c r="BS36" i="3"/>
  <c r="BS37" i="3"/>
  <c r="BS38" i="3"/>
  <c r="BS39" i="3"/>
  <c r="BS40" i="3"/>
  <c r="BS41" i="3"/>
  <c r="BS42" i="3"/>
  <c r="BS43" i="3"/>
  <c r="BS44" i="3"/>
  <c r="BS45" i="3"/>
  <c r="BS46" i="3"/>
  <c r="BS47" i="3"/>
  <c r="BS48" i="3"/>
  <c r="BS49" i="3"/>
  <c r="BS50" i="3"/>
  <c r="BS51" i="3"/>
  <c r="BS52" i="3"/>
  <c r="BS53" i="3"/>
  <c r="BS54" i="3"/>
  <c r="BL10" i="3"/>
  <c r="AJ10" i="9" s="1"/>
  <c r="BL11" i="3"/>
  <c r="AJ11" i="9" s="1"/>
  <c r="BL12" i="3"/>
  <c r="AJ12" i="9" s="1"/>
  <c r="BL13" i="3"/>
  <c r="AJ13" i="9" s="1"/>
  <c r="BL14" i="3"/>
  <c r="AJ14" i="9" s="1"/>
  <c r="BL15" i="3"/>
  <c r="AJ15" i="9" s="1"/>
  <c r="BL16" i="3"/>
  <c r="AJ16" i="9" s="1"/>
  <c r="BL17" i="3"/>
  <c r="AJ17" i="9" s="1"/>
  <c r="BL18" i="3"/>
  <c r="AJ18" i="9" s="1"/>
  <c r="BL19" i="3"/>
  <c r="AJ19" i="9" s="1"/>
  <c r="BL29" i="3"/>
  <c r="AJ29" i="9" s="1"/>
  <c r="BL30" i="3"/>
  <c r="AJ30" i="9" s="1"/>
  <c r="BL32" i="3"/>
  <c r="AJ32" i="9" s="1"/>
  <c r="BL34" i="3"/>
  <c r="AJ34" i="9" s="1"/>
  <c r="BL36" i="3"/>
  <c r="AJ36" i="9" s="1"/>
  <c r="BL38" i="3"/>
  <c r="AJ38" i="9" s="1"/>
  <c r="BL40" i="3"/>
  <c r="AJ40" i="9" s="1"/>
  <c r="BL42" i="3"/>
  <c r="AJ42" i="9" s="1"/>
  <c r="BL44" i="3"/>
  <c r="AJ44" i="9" s="1"/>
  <c r="BL46" i="3"/>
  <c r="AJ46" i="9" s="1"/>
  <c r="BL48" i="3"/>
  <c r="AJ48" i="9" s="1"/>
  <c r="BL50" i="3"/>
  <c r="AJ50" i="9" s="1"/>
  <c r="BL52" i="3"/>
  <c r="AJ52" i="9" s="1"/>
  <c r="BL54" i="3"/>
  <c r="AJ54" i="9" s="1"/>
  <c r="BL21" i="3"/>
  <c r="AJ21" i="9" s="1"/>
  <c r="BL23" i="3"/>
  <c r="AJ23" i="9" s="1"/>
  <c r="BL25" i="3"/>
  <c r="AJ25" i="9" s="1"/>
  <c r="BL27" i="3"/>
  <c r="AJ27" i="9" s="1"/>
  <c r="BL31" i="3"/>
  <c r="AJ31" i="9" s="1"/>
  <c r="BL33" i="3"/>
  <c r="AJ33" i="9" s="1"/>
  <c r="BL35" i="3"/>
  <c r="AJ35" i="9" s="1"/>
  <c r="BL37" i="3"/>
  <c r="AJ37" i="9" s="1"/>
  <c r="BL39" i="3"/>
  <c r="AJ39" i="9" s="1"/>
  <c r="BL41" i="3"/>
  <c r="AJ41" i="9" s="1"/>
  <c r="BL43" i="3"/>
  <c r="AJ43" i="9" s="1"/>
  <c r="BL45" i="3"/>
  <c r="AJ45" i="9" s="1"/>
  <c r="BL47" i="3"/>
  <c r="AJ47" i="9" s="1"/>
  <c r="BL49" i="3"/>
  <c r="AJ49" i="9" s="1"/>
  <c r="BL51" i="3"/>
  <c r="AJ51" i="9" s="1"/>
  <c r="BL53" i="3"/>
  <c r="AJ53" i="9" s="1"/>
  <c r="BL20" i="3"/>
  <c r="AJ20" i="9" s="1"/>
  <c r="BL22" i="3"/>
  <c r="AJ22" i="9" s="1"/>
  <c r="BL24" i="3"/>
  <c r="AJ24" i="9" s="1"/>
  <c r="BL26" i="3"/>
  <c r="AJ26" i="9" s="1"/>
  <c r="BL28" i="3"/>
  <c r="AJ28" i="9" s="1"/>
  <c r="Y12" i="23"/>
  <c r="Y10" i="24"/>
  <c r="Y12" i="24" s="1"/>
  <c r="R54" i="24"/>
  <c r="AD36" i="24"/>
  <c r="I31" i="24"/>
  <c r="Z37" i="24" s="1"/>
  <c r="J30" i="24"/>
  <c r="AD35" i="24"/>
  <c r="Z36" i="24" s="1"/>
  <c r="E32" i="24" s="1"/>
  <c r="J32" i="24" s="1"/>
  <c r="R53" i="23"/>
  <c r="Q28" i="23"/>
  <c r="R54" i="23"/>
  <c r="AA36" i="23"/>
  <c r="E31" i="23"/>
  <c r="K89" i="9"/>
  <c r="K28" i="19"/>
  <c r="G30" i="9"/>
  <c r="G45" i="20" s="1"/>
  <c r="D45" i="20"/>
  <c r="G33" i="9"/>
  <c r="G48" i="20" s="1"/>
  <c r="D48" i="20"/>
  <c r="G29" i="9"/>
  <c r="G44" i="20" s="1"/>
  <c r="D44" i="20"/>
  <c r="AD89" i="9"/>
  <c r="D26" i="9" s="1"/>
  <c r="F112" i="9"/>
  <c r="D32" i="9" s="1"/>
  <c r="X29" i="6"/>
  <c r="AA32" i="6"/>
  <c r="AA28" i="6"/>
  <c r="AG15" i="23" l="1"/>
  <c r="AG17" i="23"/>
  <c r="Z15" i="23"/>
  <c r="Z18" i="23" s="1"/>
  <c r="AG16" i="23"/>
  <c r="AG15" i="24"/>
  <c r="AG17" i="24"/>
  <c r="Z15" i="24"/>
  <c r="AG16" i="24"/>
  <c r="Q28" i="24"/>
  <c r="BX42" i="9"/>
  <c r="BX39" i="9"/>
  <c r="BX35" i="9"/>
  <c r="BX40" i="9"/>
  <c r="CA42" i="9" s="1"/>
  <c r="I10" i="9" s="1"/>
  <c r="M10" i="20" s="1"/>
  <c r="BX41" i="9"/>
  <c r="BX34" i="9"/>
  <c r="BX36" i="9"/>
  <c r="BX38" i="9"/>
  <c r="Z16" i="23"/>
  <c r="Z17" i="23"/>
  <c r="K90" i="9"/>
  <c r="D23" i="9" s="1"/>
  <c r="D88" i="9"/>
  <c r="C23" i="9" s="1"/>
  <c r="E23" i="9" s="1"/>
  <c r="AA29" i="6"/>
  <c r="AA30" i="6" s="1"/>
  <c r="I20" i="9"/>
  <c r="AR54" i="9"/>
  <c r="BB54" i="3"/>
  <c r="AR52" i="9"/>
  <c r="BB52" i="3"/>
  <c r="AR50" i="9"/>
  <c r="BB50" i="3"/>
  <c r="AR48" i="9"/>
  <c r="BB48" i="3"/>
  <c r="AR46" i="9"/>
  <c r="BB46" i="3"/>
  <c r="AR44" i="9"/>
  <c r="BB44" i="3"/>
  <c r="AR42" i="9"/>
  <c r="BB42" i="3"/>
  <c r="AR40" i="9"/>
  <c r="BB40" i="3"/>
  <c r="AR38" i="9"/>
  <c r="BB38" i="3"/>
  <c r="AR36" i="9"/>
  <c r="BB36" i="3"/>
  <c r="AR34" i="9"/>
  <c r="BB34" i="3"/>
  <c r="AR32" i="9"/>
  <c r="BB32" i="3"/>
  <c r="AR30" i="9"/>
  <c r="BB30" i="3"/>
  <c r="AR28" i="9"/>
  <c r="BB28" i="3"/>
  <c r="AR26" i="9"/>
  <c r="BB26" i="3"/>
  <c r="AR24" i="9"/>
  <c r="BB24" i="3"/>
  <c r="AR22" i="9"/>
  <c r="BB22" i="3"/>
  <c r="AR20" i="9"/>
  <c r="BB20" i="3"/>
  <c r="AR18" i="9"/>
  <c r="BB18" i="3"/>
  <c r="AR16" i="9"/>
  <c r="BB16" i="3"/>
  <c r="AR14" i="9"/>
  <c r="BB14" i="3"/>
  <c r="AR12" i="9"/>
  <c r="BB12" i="3"/>
  <c r="AR10" i="9"/>
  <c r="BB10" i="3"/>
  <c r="AV54" i="9"/>
  <c r="BF54" i="3"/>
  <c r="AV52" i="9"/>
  <c r="BF52" i="3"/>
  <c r="AV50" i="9"/>
  <c r="BF50" i="3"/>
  <c r="AV48" i="9"/>
  <c r="BF48" i="3"/>
  <c r="AV46" i="9"/>
  <c r="BF46" i="3"/>
  <c r="AV44" i="9"/>
  <c r="BF44" i="3"/>
  <c r="AV42" i="9"/>
  <c r="BF42" i="3"/>
  <c r="AV40" i="9"/>
  <c r="BF40" i="3"/>
  <c r="AV38" i="9"/>
  <c r="BF38" i="3"/>
  <c r="AV36" i="9"/>
  <c r="BF36" i="3"/>
  <c r="AV34" i="9"/>
  <c r="BF34" i="3"/>
  <c r="AV32" i="9"/>
  <c r="BF32" i="3"/>
  <c r="AV30" i="9"/>
  <c r="BF30" i="3"/>
  <c r="AV28" i="9"/>
  <c r="BF28" i="3"/>
  <c r="AV26" i="9"/>
  <c r="BF26" i="3"/>
  <c r="AV24" i="9"/>
  <c r="BF24" i="3"/>
  <c r="AV22" i="9"/>
  <c r="BF22" i="3"/>
  <c r="AV20" i="9"/>
  <c r="BF20" i="3"/>
  <c r="AV18" i="9"/>
  <c r="BF18" i="3"/>
  <c r="AV16" i="9"/>
  <c r="BF16" i="3"/>
  <c r="AV14" i="9"/>
  <c r="BF14" i="3"/>
  <c r="AV12" i="9"/>
  <c r="BF12" i="3"/>
  <c r="AV10" i="9"/>
  <c r="BF10" i="3"/>
  <c r="AQ10" i="9"/>
  <c r="BA10" i="3"/>
  <c r="AQ53" i="9"/>
  <c r="BA53" i="3"/>
  <c r="AQ51" i="9"/>
  <c r="BA51" i="3"/>
  <c r="AQ49" i="9"/>
  <c r="BA49" i="3"/>
  <c r="AQ47" i="9"/>
  <c r="BA47" i="3"/>
  <c r="AQ45" i="9"/>
  <c r="BA45" i="3"/>
  <c r="AQ43" i="9"/>
  <c r="BA43" i="3"/>
  <c r="AQ41" i="9"/>
  <c r="BA41" i="3"/>
  <c r="AQ39" i="9"/>
  <c r="BA39" i="3"/>
  <c r="AQ37" i="9"/>
  <c r="BA37" i="3"/>
  <c r="AQ35" i="9"/>
  <c r="BA35" i="3"/>
  <c r="AQ33" i="9"/>
  <c r="BA33" i="3"/>
  <c r="AQ31" i="9"/>
  <c r="BA31" i="3"/>
  <c r="AQ29" i="9"/>
  <c r="BA29" i="3"/>
  <c r="AQ27" i="9"/>
  <c r="BA27" i="3"/>
  <c r="AQ25" i="9"/>
  <c r="BA25" i="3"/>
  <c r="AQ23" i="9"/>
  <c r="BA23" i="3"/>
  <c r="AQ21" i="9"/>
  <c r="BA21" i="3"/>
  <c r="AQ19" i="9"/>
  <c r="BA19" i="3"/>
  <c r="AQ17" i="9"/>
  <c r="BA17" i="3"/>
  <c r="AQ15" i="9"/>
  <c r="BA15" i="3"/>
  <c r="AQ13" i="9"/>
  <c r="BA13" i="3"/>
  <c r="AQ11" i="9"/>
  <c r="BA11" i="3"/>
  <c r="AT54" i="9"/>
  <c r="BD54" i="3"/>
  <c r="AT52" i="9"/>
  <c r="BD52" i="3"/>
  <c r="AT50" i="9"/>
  <c r="BD50" i="3"/>
  <c r="AT48" i="9"/>
  <c r="BD48" i="3"/>
  <c r="AT46" i="9"/>
  <c r="BD46" i="3"/>
  <c r="AT44" i="9"/>
  <c r="BD44" i="3"/>
  <c r="AT42" i="9"/>
  <c r="BD42" i="3"/>
  <c r="AT40" i="9"/>
  <c r="BD40" i="3"/>
  <c r="AT38" i="9"/>
  <c r="BD38" i="3"/>
  <c r="AT36" i="9"/>
  <c r="BD36" i="3"/>
  <c r="AT34" i="9"/>
  <c r="BD34" i="3"/>
  <c r="AT32" i="9"/>
  <c r="BD32" i="3"/>
  <c r="AT30" i="9"/>
  <c r="BD30" i="3"/>
  <c r="AT28" i="9"/>
  <c r="BD28" i="3"/>
  <c r="AT26" i="9"/>
  <c r="BD26" i="3"/>
  <c r="AT24" i="9"/>
  <c r="BD24" i="3"/>
  <c r="AT22" i="9"/>
  <c r="BD22" i="3"/>
  <c r="AT20" i="9"/>
  <c r="BD20" i="3"/>
  <c r="AT18" i="9"/>
  <c r="BD18" i="3"/>
  <c r="AT16" i="9"/>
  <c r="BD16" i="3"/>
  <c r="AT14" i="9"/>
  <c r="BD14" i="3"/>
  <c r="AT12" i="9"/>
  <c r="BD12" i="3"/>
  <c r="AT10" i="9"/>
  <c r="BD10" i="3"/>
  <c r="AU54" i="9"/>
  <c r="BE54" i="3"/>
  <c r="AU52" i="9"/>
  <c r="BE52" i="3"/>
  <c r="AU50" i="9"/>
  <c r="BE50" i="3"/>
  <c r="AU48" i="9"/>
  <c r="BE48" i="3"/>
  <c r="AU46" i="9"/>
  <c r="BE46" i="3"/>
  <c r="AU44" i="9"/>
  <c r="BE44" i="3"/>
  <c r="AU42" i="9"/>
  <c r="BE42" i="3"/>
  <c r="AU40" i="9"/>
  <c r="BE40" i="3"/>
  <c r="AU38" i="9"/>
  <c r="BE38" i="3"/>
  <c r="AU36" i="9"/>
  <c r="BE36" i="3"/>
  <c r="AU34" i="9"/>
  <c r="BE34" i="3"/>
  <c r="AU32" i="9"/>
  <c r="BE32" i="3"/>
  <c r="AU30" i="9"/>
  <c r="BE30" i="3"/>
  <c r="AU28" i="9"/>
  <c r="BE28" i="3"/>
  <c r="AU26" i="9"/>
  <c r="BE26" i="3"/>
  <c r="AU24" i="9"/>
  <c r="BE24" i="3"/>
  <c r="AU22" i="9"/>
  <c r="BE22" i="3"/>
  <c r="AU20" i="9"/>
  <c r="BE20" i="3"/>
  <c r="AU18" i="9"/>
  <c r="BE18" i="3"/>
  <c r="AU16" i="9"/>
  <c r="BE16" i="3"/>
  <c r="AU14" i="9"/>
  <c r="BE14" i="3"/>
  <c r="AU12" i="9"/>
  <c r="BE12" i="3"/>
  <c r="AS54" i="9"/>
  <c r="BC54" i="3"/>
  <c r="AS52" i="9"/>
  <c r="BC52" i="3"/>
  <c r="AS50" i="9"/>
  <c r="BC50" i="3"/>
  <c r="AS48" i="9"/>
  <c r="BC48" i="3"/>
  <c r="AS46" i="9"/>
  <c r="BC46" i="3"/>
  <c r="AS44" i="9"/>
  <c r="BC44" i="3"/>
  <c r="AS42" i="9"/>
  <c r="BC42" i="3"/>
  <c r="AS40" i="9"/>
  <c r="BC40" i="3"/>
  <c r="AS38" i="9"/>
  <c r="BC38" i="3"/>
  <c r="AS36" i="9"/>
  <c r="BC36" i="3"/>
  <c r="AS34" i="9"/>
  <c r="BC34" i="3"/>
  <c r="AS32" i="9"/>
  <c r="BC32" i="3"/>
  <c r="AS30" i="9"/>
  <c r="BC30" i="3"/>
  <c r="AS28" i="9"/>
  <c r="BC28" i="3"/>
  <c r="AS26" i="9"/>
  <c r="BC26" i="3"/>
  <c r="AS24" i="9"/>
  <c r="BC24" i="3"/>
  <c r="AS22" i="9"/>
  <c r="BC22" i="3"/>
  <c r="AS20" i="9"/>
  <c r="BC20" i="3"/>
  <c r="AS18" i="9"/>
  <c r="BC18" i="3"/>
  <c r="AS16" i="9"/>
  <c r="BC16" i="3"/>
  <c r="AS14" i="9"/>
  <c r="BC14" i="3"/>
  <c r="AS12" i="9"/>
  <c r="BC12" i="3"/>
  <c r="AR53" i="9"/>
  <c r="BB53" i="3"/>
  <c r="AR51" i="9"/>
  <c r="BB51" i="3"/>
  <c r="AR49" i="9"/>
  <c r="BB49" i="3"/>
  <c r="AR47" i="9"/>
  <c r="BB47" i="3"/>
  <c r="AR45" i="9"/>
  <c r="BB45" i="3"/>
  <c r="AR43" i="9"/>
  <c r="BB43" i="3"/>
  <c r="AR41" i="9"/>
  <c r="BB41" i="3"/>
  <c r="AR39" i="9"/>
  <c r="BB39" i="3"/>
  <c r="AR37" i="9"/>
  <c r="BB37" i="3"/>
  <c r="AR35" i="9"/>
  <c r="BB35" i="3"/>
  <c r="AR33" i="9"/>
  <c r="BB33" i="3"/>
  <c r="AR31" i="9"/>
  <c r="BB31" i="3"/>
  <c r="AR29" i="9"/>
  <c r="BB29" i="3"/>
  <c r="AR27" i="9"/>
  <c r="BB27" i="3"/>
  <c r="AR25" i="9"/>
  <c r="BB25" i="3"/>
  <c r="AR23" i="9"/>
  <c r="BB23" i="3"/>
  <c r="AR21" i="9"/>
  <c r="BB21" i="3"/>
  <c r="AR19" i="9"/>
  <c r="BB19" i="3"/>
  <c r="AR17" i="9"/>
  <c r="BB17" i="3"/>
  <c r="AR15" i="9"/>
  <c r="BB15" i="3"/>
  <c r="AR13" i="9"/>
  <c r="BB13" i="3"/>
  <c r="AR11" i="9"/>
  <c r="BB11" i="3"/>
  <c r="AV53" i="9"/>
  <c r="BF53" i="3"/>
  <c r="AV51" i="9"/>
  <c r="BF51" i="3"/>
  <c r="AV49" i="9"/>
  <c r="BF49" i="3"/>
  <c r="AV47" i="9"/>
  <c r="BF47" i="3"/>
  <c r="AV45" i="9"/>
  <c r="BF45" i="3"/>
  <c r="AV43" i="9"/>
  <c r="BF43" i="3"/>
  <c r="AV41" i="9"/>
  <c r="BF41" i="3"/>
  <c r="AV39" i="9"/>
  <c r="BF39" i="3"/>
  <c r="AV37" i="9"/>
  <c r="BF37" i="3"/>
  <c r="AV35" i="9"/>
  <c r="BF35" i="3"/>
  <c r="AV33" i="9"/>
  <c r="BF33" i="3"/>
  <c r="AV31" i="9"/>
  <c r="BF31" i="3"/>
  <c r="AV29" i="9"/>
  <c r="BF29" i="3"/>
  <c r="AV27" i="9"/>
  <c r="BF27" i="3"/>
  <c r="AV25" i="9"/>
  <c r="BF25" i="3"/>
  <c r="AV23" i="9"/>
  <c r="BF23" i="3"/>
  <c r="AV21" i="9"/>
  <c r="BF21" i="3"/>
  <c r="AV19" i="9"/>
  <c r="BF19" i="3"/>
  <c r="AV17" i="9"/>
  <c r="BF17" i="3"/>
  <c r="AV15" i="9"/>
  <c r="BF15" i="3"/>
  <c r="AV13" i="9"/>
  <c r="BF13" i="3"/>
  <c r="AV11" i="9"/>
  <c r="BF11" i="3"/>
  <c r="AQ54" i="9"/>
  <c r="BA54" i="3"/>
  <c r="AQ52" i="9"/>
  <c r="BA52" i="3"/>
  <c r="AQ50" i="9"/>
  <c r="BA50" i="3"/>
  <c r="AQ48" i="9"/>
  <c r="BA48" i="3"/>
  <c r="AQ46" i="9"/>
  <c r="BA46" i="3"/>
  <c r="AQ44" i="9"/>
  <c r="BA44" i="3"/>
  <c r="AQ42" i="9"/>
  <c r="BA42" i="3"/>
  <c r="AQ40" i="9"/>
  <c r="BA40" i="3"/>
  <c r="AQ38" i="9"/>
  <c r="BA38" i="3"/>
  <c r="AQ36" i="9"/>
  <c r="BA36" i="3"/>
  <c r="AQ34" i="9"/>
  <c r="BA34" i="3"/>
  <c r="AQ32" i="9"/>
  <c r="BA32" i="3"/>
  <c r="AQ30" i="9"/>
  <c r="BA30" i="3"/>
  <c r="AQ28" i="9"/>
  <c r="BA28" i="3"/>
  <c r="AQ26" i="9"/>
  <c r="BA26" i="3"/>
  <c r="AQ24" i="9"/>
  <c r="BA24" i="3"/>
  <c r="AQ22" i="9"/>
  <c r="BA22" i="3"/>
  <c r="AQ20" i="9"/>
  <c r="BA20" i="3"/>
  <c r="AQ18" i="9"/>
  <c r="BA18" i="3"/>
  <c r="AQ16" i="9"/>
  <c r="BA16" i="3"/>
  <c r="AQ14" i="9"/>
  <c r="BA14" i="3"/>
  <c r="AQ12" i="9"/>
  <c r="BA12" i="3"/>
  <c r="AT53" i="9"/>
  <c r="BD53" i="3"/>
  <c r="AT51" i="9"/>
  <c r="BD51" i="3"/>
  <c r="AT49" i="9"/>
  <c r="BD49" i="3"/>
  <c r="AT47" i="9"/>
  <c r="BD47" i="3"/>
  <c r="AT45" i="9"/>
  <c r="BD45" i="3"/>
  <c r="AT43" i="9"/>
  <c r="BD43" i="3"/>
  <c r="AT41" i="9"/>
  <c r="BD41" i="3"/>
  <c r="AT39" i="9"/>
  <c r="BD39" i="3"/>
  <c r="AT37" i="9"/>
  <c r="BD37" i="3"/>
  <c r="AT35" i="9"/>
  <c r="BD35" i="3"/>
  <c r="AT33" i="9"/>
  <c r="BD33" i="3"/>
  <c r="AT31" i="9"/>
  <c r="BD31" i="3"/>
  <c r="AT29" i="9"/>
  <c r="BD29" i="3"/>
  <c r="AT27" i="9"/>
  <c r="BD27" i="3"/>
  <c r="AT25" i="9"/>
  <c r="BD25" i="3"/>
  <c r="AT23" i="9"/>
  <c r="BD23" i="3"/>
  <c r="AT21" i="9"/>
  <c r="BD21" i="3"/>
  <c r="AT19" i="9"/>
  <c r="BD19" i="3"/>
  <c r="AT17" i="9"/>
  <c r="BD17" i="3"/>
  <c r="AT15" i="9"/>
  <c r="BD15" i="3"/>
  <c r="AT13" i="9"/>
  <c r="BD13" i="3"/>
  <c r="AT11" i="9"/>
  <c r="BD11" i="3"/>
  <c r="AU10" i="9"/>
  <c r="BE10" i="3"/>
  <c r="AU53" i="9"/>
  <c r="BE53" i="3"/>
  <c r="AU51" i="9"/>
  <c r="BE51" i="3"/>
  <c r="AU49" i="9"/>
  <c r="BE49" i="3"/>
  <c r="AU47" i="9"/>
  <c r="BE47" i="3"/>
  <c r="AU45" i="9"/>
  <c r="BE45" i="3"/>
  <c r="AU43" i="9"/>
  <c r="BE43" i="3"/>
  <c r="AU41" i="9"/>
  <c r="BE41" i="3"/>
  <c r="AU39" i="9"/>
  <c r="BE39" i="3"/>
  <c r="AU37" i="9"/>
  <c r="BE37" i="3"/>
  <c r="AU35" i="9"/>
  <c r="BE35" i="3"/>
  <c r="AU33" i="9"/>
  <c r="BE33" i="3"/>
  <c r="AU31" i="9"/>
  <c r="BE31" i="3"/>
  <c r="AU29" i="9"/>
  <c r="BE29" i="3"/>
  <c r="AU27" i="9"/>
  <c r="BE27" i="3"/>
  <c r="AU25" i="9"/>
  <c r="BE25" i="3"/>
  <c r="AU23" i="9"/>
  <c r="BE23" i="3"/>
  <c r="AU21" i="9"/>
  <c r="BE21" i="3"/>
  <c r="AU19" i="9"/>
  <c r="BE19" i="3"/>
  <c r="AU17" i="9"/>
  <c r="BE17" i="3"/>
  <c r="AU15" i="9"/>
  <c r="BE15" i="3"/>
  <c r="AU13" i="9"/>
  <c r="BE13" i="3"/>
  <c r="AU11" i="9"/>
  <c r="BE11" i="3"/>
  <c r="AS10" i="9"/>
  <c r="BC10" i="3"/>
  <c r="AS53" i="9"/>
  <c r="BC53" i="3"/>
  <c r="AS51" i="9"/>
  <c r="BC51" i="3"/>
  <c r="AS49" i="9"/>
  <c r="BC49" i="3"/>
  <c r="AS47" i="9"/>
  <c r="BC47" i="3"/>
  <c r="AS45" i="9"/>
  <c r="BC45" i="3"/>
  <c r="AS43" i="9"/>
  <c r="BC43" i="3"/>
  <c r="AS41" i="9"/>
  <c r="BC41" i="3"/>
  <c r="AS39" i="9"/>
  <c r="BC39" i="3"/>
  <c r="AS37" i="9"/>
  <c r="BC37" i="3"/>
  <c r="AS35" i="9"/>
  <c r="BC35" i="3"/>
  <c r="AS33" i="9"/>
  <c r="BC33" i="3"/>
  <c r="AS31" i="9"/>
  <c r="BC31" i="3"/>
  <c r="AS29" i="9"/>
  <c r="BC29" i="3"/>
  <c r="AS27" i="9"/>
  <c r="BC27" i="3"/>
  <c r="AS25" i="9"/>
  <c r="BC25" i="3"/>
  <c r="AS23" i="9"/>
  <c r="BC23" i="3"/>
  <c r="AS21" i="9"/>
  <c r="BC21" i="3"/>
  <c r="AS19" i="9"/>
  <c r="BC19" i="3"/>
  <c r="AS17" i="9"/>
  <c r="BC17" i="3"/>
  <c r="AS15" i="9"/>
  <c r="BC15" i="3"/>
  <c r="AS13" i="9"/>
  <c r="BC13" i="3"/>
  <c r="AS11" i="9"/>
  <c r="BC11" i="3"/>
  <c r="Z17" i="24"/>
  <c r="Z16" i="24"/>
  <c r="E18" i="24"/>
  <c r="AA36" i="24"/>
  <c r="E31" i="24"/>
  <c r="Q30" i="24"/>
  <c r="Q31" i="24"/>
  <c r="E18" i="23"/>
  <c r="Q30" i="23"/>
  <c r="Q31" i="23"/>
  <c r="G32" i="9"/>
  <c r="G47" i="20" s="1"/>
  <c r="D47" i="20"/>
  <c r="G26" i="9"/>
  <c r="G41" i="20" s="1"/>
  <c r="D41" i="20"/>
  <c r="T82" i="9"/>
  <c r="K93" i="9" s="1"/>
  <c r="X25" i="6"/>
  <c r="R39" i="6" s="1"/>
  <c r="I26" i="6"/>
  <c r="Y9" i="6" l="1"/>
  <c r="Y11" i="6" s="1"/>
  <c r="AF9" i="6"/>
  <c r="AG18" i="24"/>
  <c r="AG18" i="23"/>
  <c r="I11" i="9"/>
  <c r="J11" i="9" s="1"/>
  <c r="B23" i="20" s="1"/>
  <c r="F23" i="9"/>
  <c r="G23" i="9" s="1"/>
  <c r="E16" i="9"/>
  <c r="D90" i="9" s="1"/>
  <c r="K92" i="9" s="1"/>
  <c r="K94" i="9" s="1"/>
  <c r="D24" i="9" s="1"/>
  <c r="AA31" i="6"/>
  <c r="E30" i="6" s="1"/>
  <c r="CA11" i="3"/>
  <c r="Z11" i="9"/>
  <c r="Q13" i="19" s="1"/>
  <c r="CA15" i="3"/>
  <c r="Z15" i="9"/>
  <c r="Q17" i="19" s="1"/>
  <c r="CA19" i="3"/>
  <c r="Z19" i="9"/>
  <c r="Q21" i="19" s="1"/>
  <c r="CA23" i="3"/>
  <c r="Z23" i="9"/>
  <c r="Q25" i="19" s="1"/>
  <c r="CA27" i="3"/>
  <c r="Z27" i="9"/>
  <c r="Q29" i="19" s="1"/>
  <c r="CA31" i="3"/>
  <c r="Z31" i="9"/>
  <c r="Q33" i="19" s="1"/>
  <c r="CA35" i="3"/>
  <c r="Z35" i="9"/>
  <c r="Q37" i="19" s="1"/>
  <c r="CA39" i="3"/>
  <c r="Z39" i="9"/>
  <c r="Q41" i="19" s="1"/>
  <c r="CA41" i="3"/>
  <c r="Z41" i="9"/>
  <c r="Q43" i="19" s="1"/>
  <c r="CA45" i="3"/>
  <c r="Z45" i="9"/>
  <c r="Q47" i="19" s="1"/>
  <c r="CA49" i="3"/>
  <c r="Z49" i="9"/>
  <c r="Q51" i="19" s="1"/>
  <c r="CA53" i="3"/>
  <c r="Z53" i="9"/>
  <c r="Q55" i="19" s="1"/>
  <c r="CC11" i="3"/>
  <c r="AB11" i="9"/>
  <c r="S13" i="19" s="1"/>
  <c r="CC15" i="3"/>
  <c r="AB15" i="9"/>
  <c r="S17" i="19" s="1"/>
  <c r="CC19" i="3"/>
  <c r="AB19" i="9"/>
  <c r="S21" i="19" s="1"/>
  <c r="CC23" i="3"/>
  <c r="AB23" i="9"/>
  <c r="S25" i="19" s="1"/>
  <c r="CC27" i="3"/>
  <c r="AB27" i="9"/>
  <c r="S29" i="19" s="1"/>
  <c r="CC31" i="3"/>
  <c r="AB31" i="9"/>
  <c r="S33" i="19" s="1"/>
  <c r="CC35" i="3"/>
  <c r="AB35" i="9"/>
  <c r="S37" i="19" s="1"/>
  <c r="CC39" i="3"/>
  <c r="AB39" i="9"/>
  <c r="S41" i="19" s="1"/>
  <c r="CC43" i="3"/>
  <c r="AB43" i="9"/>
  <c r="S45" i="19" s="1"/>
  <c r="CC47" i="3"/>
  <c r="AB47" i="9"/>
  <c r="S49" i="19" s="1"/>
  <c r="CC49" i="3"/>
  <c r="AB49" i="9"/>
  <c r="S51" i="19" s="1"/>
  <c r="CC53" i="3"/>
  <c r="AB53" i="9"/>
  <c r="S55" i="19" s="1"/>
  <c r="CB11" i="3"/>
  <c r="AA11" i="9"/>
  <c r="R13" i="19" s="1"/>
  <c r="CB15" i="3"/>
  <c r="AA15" i="9"/>
  <c r="R17" i="19" s="1"/>
  <c r="CB19" i="3"/>
  <c r="AA19" i="9"/>
  <c r="R21" i="19" s="1"/>
  <c r="CB23" i="3"/>
  <c r="AA23" i="9"/>
  <c r="R25" i="19" s="1"/>
  <c r="CB29" i="3"/>
  <c r="AA29" i="9"/>
  <c r="R31" i="19" s="1"/>
  <c r="CB33" i="3"/>
  <c r="AA33" i="9"/>
  <c r="R35" i="19" s="1"/>
  <c r="CB37" i="3"/>
  <c r="AA37" i="9"/>
  <c r="R39" i="19" s="1"/>
  <c r="CB41" i="3"/>
  <c r="AA41" i="9"/>
  <c r="R43" i="19" s="1"/>
  <c r="CB45" i="3"/>
  <c r="AA45" i="9"/>
  <c r="R47" i="19" s="1"/>
  <c r="CB49" i="3"/>
  <c r="AA49" i="9"/>
  <c r="R51" i="19" s="1"/>
  <c r="CB53" i="3"/>
  <c r="AA53" i="9"/>
  <c r="R55" i="19" s="1"/>
  <c r="BY14" i="3"/>
  <c r="X14" i="9"/>
  <c r="O16" i="19" s="1"/>
  <c r="BY18" i="3"/>
  <c r="X18" i="9"/>
  <c r="O20" i="19" s="1"/>
  <c r="BY22" i="3"/>
  <c r="X22" i="9"/>
  <c r="O24" i="19" s="1"/>
  <c r="BY26" i="3"/>
  <c r="X26" i="9"/>
  <c r="O28" i="19" s="1"/>
  <c r="BY30" i="3"/>
  <c r="X30" i="9"/>
  <c r="O32" i="19" s="1"/>
  <c r="BY34" i="3"/>
  <c r="X34" i="9"/>
  <c r="O36" i="19" s="1"/>
  <c r="BY38" i="3"/>
  <c r="X38" i="9"/>
  <c r="O40" i="19" s="1"/>
  <c r="BY42" i="3"/>
  <c r="X42" i="9"/>
  <c r="O44" i="19" s="1"/>
  <c r="BY46" i="3"/>
  <c r="X46" i="9"/>
  <c r="O48" i="19" s="1"/>
  <c r="BY50" i="3"/>
  <c r="X50" i="9"/>
  <c r="O52" i="19" s="1"/>
  <c r="BY54" i="3"/>
  <c r="X54" i="9"/>
  <c r="O56" i="19" s="1"/>
  <c r="CD13" i="3"/>
  <c r="AC13" i="9"/>
  <c r="T15" i="19" s="1"/>
  <c r="CD17" i="3"/>
  <c r="AC17" i="9"/>
  <c r="T19" i="19" s="1"/>
  <c r="CD21" i="3"/>
  <c r="AC21" i="9"/>
  <c r="T23" i="19" s="1"/>
  <c r="CD23" i="3"/>
  <c r="AC23" i="9"/>
  <c r="T25" i="19" s="1"/>
  <c r="CD27" i="3"/>
  <c r="AC27" i="9"/>
  <c r="T29" i="19" s="1"/>
  <c r="CD31" i="3"/>
  <c r="AC31" i="9"/>
  <c r="T33" i="19" s="1"/>
  <c r="CD35" i="3"/>
  <c r="AC35" i="9"/>
  <c r="T37" i="19" s="1"/>
  <c r="CD39" i="3"/>
  <c r="AC39" i="9"/>
  <c r="T41" i="19" s="1"/>
  <c r="CD43" i="3"/>
  <c r="AC43" i="9"/>
  <c r="T45" i="19" s="1"/>
  <c r="CD47" i="3"/>
  <c r="AC47" i="9"/>
  <c r="T49" i="19" s="1"/>
  <c r="CD51" i="3"/>
  <c r="AC51" i="9"/>
  <c r="T53" i="19" s="1"/>
  <c r="BZ11" i="3"/>
  <c r="Y11" i="9"/>
  <c r="P13" i="19" s="1"/>
  <c r="BZ15" i="3"/>
  <c r="Y15" i="9"/>
  <c r="P17" i="19" s="1"/>
  <c r="BZ19" i="3"/>
  <c r="Y19" i="9"/>
  <c r="P21" i="19" s="1"/>
  <c r="BZ23" i="3"/>
  <c r="Y23" i="9"/>
  <c r="P25" i="19" s="1"/>
  <c r="BZ27" i="3"/>
  <c r="Y27" i="9"/>
  <c r="P29" i="19" s="1"/>
  <c r="BZ31" i="3"/>
  <c r="Y31" i="9"/>
  <c r="P33" i="19" s="1"/>
  <c r="BZ35" i="3"/>
  <c r="Y35" i="9"/>
  <c r="P37" i="19" s="1"/>
  <c r="BZ39" i="3"/>
  <c r="Y39" i="9"/>
  <c r="P41" i="19" s="1"/>
  <c r="BZ43" i="3"/>
  <c r="Y43" i="9"/>
  <c r="P45" i="19" s="1"/>
  <c r="BZ47" i="3"/>
  <c r="Y47" i="9"/>
  <c r="P49" i="19" s="1"/>
  <c r="BZ51" i="3"/>
  <c r="Y51" i="9"/>
  <c r="P53" i="19" s="1"/>
  <c r="CA12" i="3"/>
  <c r="Z12" i="9"/>
  <c r="Q14" i="19" s="1"/>
  <c r="CA16" i="3"/>
  <c r="Z16" i="9"/>
  <c r="Q18" i="19" s="1"/>
  <c r="CA20" i="3"/>
  <c r="Z20" i="9"/>
  <c r="Q22" i="19" s="1"/>
  <c r="CA24" i="3"/>
  <c r="Z24" i="9"/>
  <c r="Q26" i="19" s="1"/>
  <c r="CA28" i="3"/>
  <c r="Z28" i="9"/>
  <c r="Q30" i="19" s="1"/>
  <c r="CA32" i="3"/>
  <c r="Z32" i="9"/>
  <c r="Q34" i="19" s="1"/>
  <c r="CA36" i="3"/>
  <c r="Z36" i="9"/>
  <c r="Q38" i="19" s="1"/>
  <c r="CA40" i="3"/>
  <c r="Z40" i="9"/>
  <c r="Q42" i="19" s="1"/>
  <c r="CA44" i="3"/>
  <c r="Z44" i="9"/>
  <c r="Q46" i="19" s="1"/>
  <c r="CA48" i="3"/>
  <c r="Z48" i="9"/>
  <c r="Q50" i="19" s="1"/>
  <c r="CA52" i="3"/>
  <c r="Z52" i="9"/>
  <c r="Q54" i="19" s="1"/>
  <c r="AB12" i="9"/>
  <c r="S14" i="19" s="1"/>
  <c r="CC12" i="3"/>
  <c r="AB16" i="9"/>
  <c r="S18" i="19" s="1"/>
  <c r="CC16" i="3"/>
  <c r="AB20" i="9"/>
  <c r="S22" i="19" s="1"/>
  <c r="CC20" i="3"/>
  <c r="AB24" i="9"/>
  <c r="S26" i="19" s="1"/>
  <c r="CC24" i="3"/>
  <c r="AB26" i="9"/>
  <c r="S28" i="19" s="1"/>
  <c r="CC26" i="3"/>
  <c r="CC30" i="3"/>
  <c r="AB30" i="9"/>
  <c r="S32" i="19" s="1"/>
  <c r="CC32" i="3"/>
  <c r="AB32" i="9"/>
  <c r="S34" i="19" s="1"/>
  <c r="CC34" i="3"/>
  <c r="AB34" i="9"/>
  <c r="S36" i="19" s="1"/>
  <c r="CC36" i="3"/>
  <c r="AB36" i="9"/>
  <c r="S38" i="19" s="1"/>
  <c r="CC38" i="3"/>
  <c r="AB38" i="9"/>
  <c r="S40" i="19" s="1"/>
  <c r="CC42" i="3"/>
  <c r="AB42" i="9"/>
  <c r="S44" i="19" s="1"/>
  <c r="CC44" i="3"/>
  <c r="AB44" i="9"/>
  <c r="S46" i="19" s="1"/>
  <c r="CC46" i="3"/>
  <c r="AB46" i="9"/>
  <c r="S48" i="19" s="1"/>
  <c r="CC48" i="3"/>
  <c r="AB48" i="9"/>
  <c r="S50" i="19" s="1"/>
  <c r="CC50" i="3"/>
  <c r="AB50" i="9"/>
  <c r="S52" i="19" s="1"/>
  <c r="CC52" i="3"/>
  <c r="AB52" i="9"/>
  <c r="S54" i="19" s="1"/>
  <c r="CC54" i="3"/>
  <c r="AB54" i="9"/>
  <c r="S56" i="19" s="1"/>
  <c r="CB10" i="3"/>
  <c r="AA10" i="9"/>
  <c r="R12" i="19" s="1"/>
  <c r="CB12" i="3"/>
  <c r="AA12" i="9"/>
  <c r="R14" i="19" s="1"/>
  <c r="CB14" i="3"/>
  <c r="AA14" i="9"/>
  <c r="R16" i="19" s="1"/>
  <c r="CB16" i="3"/>
  <c r="AA16" i="9"/>
  <c r="R18" i="19" s="1"/>
  <c r="CB18" i="3"/>
  <c r="AA18" i="9"/>
  <c r="R20" i="19" s="1"/>
  <c r="CB20" i="3"/>
  <c r="AA20" i="9"/>
  <c r="R22" i="19" s="1"/>
  <c r="CB22" i="3"/>
  <c r="AA22" i="9"/>
  <c r="R24" i="19" s="1"/>
  <c r="CB24" i="3"/>
  <c r="AA24" i="9"/>
  <c r="R26" i="19" s="1"/>
  <c r="CB26" i="3"/>
  <c r="AA26" i="9"/>
  <c r="CB28" i="3"/>
  <c r="AA28" i="9"/>
  <c r="R30" i="19" s="1"/>
  <c r="CB30" i="3"/>
  <c r="AA30" i="9"/>
  <c r="R32" i="19" s="1"/>
  <c r="CB32" i="3"/>
  <c r="AA32" i="9"/>
  <c r="R34" i="19" s="1"/>
  <c r="CB34" i="3"/>
  <c r="AA34" i="9"/>
  <c r="R36" i="19" s="1"/>
  <c r="CB36" i="3"/>
  <c r="AA36" i="9"/>
  <c r="R38" i="19" s="1"/>
  <c r="CB38" i="3"/>
  <c r="AA38" i="9"/>
  <c r="R40" i="19" s="1"/>
  <c r="CB40" i="3"/>
  <c r="AA40" i="9"/>
  <c r="R42" i="19" s="1"/>
  <c r="CB42" i="3"/>
  <c r="AA42" i="9"/>
  <c r="R44" i="19" s="1"/>
  <c r="CB44" i="3"/>
  <c r="AA44" i="9"/>
  <c r="R46" i="19" s="1"/>
  <c r="CB46" i="3"/>
  <c r="AA46" i="9"/>
  <c r="R48" i="19" s="1"/>
  <c r="CB48" i="3"/>
  <c r="AA48" i="9"/>
  <c r="R50" i="19" s="1"/>
  <c r="CB50" i="3"/>
  <c r="AA50" i="9"/>
  <c r="R52" i="19" s="1"/>
  <c r="CB52" i="3"/>
  <c r="AA52" i="9"/>
  <c r="R54" i="19" s="1"/>
  <c r="CB54" i="3"/>
  <c r="AA54" i="9"/>
  <c r="R56" i="19" s="1"/>
  <c r="BY11" i="3"/>
  <c r="X11" i="9"/>
  <c r="O13" i="19" s="1"/>
  <c r="BY13" i="3"/>
  <c r="X13" i="9"/>
  <c r="O15" i="19" s="1"/>
  <c r="BY15" i="3"/>
  <c r="X15" i="9"/>
  <c r="O17" i="19" s="1"/>
  <c r="BY17" i="3"/>
  <c r="X17" i="9"/>
  <c r="O19" i="19" s="1"/>
  <c r="BY19" i="3"/>
  <c r="X19" i="9"/>
  <c r="O21" i="19" s="1"/>
  <c r="BY21" i="3"/>
  <c r="X21" i="9"/>
  <c r="O23" i="19" s="1"/>
  <c r="BY23" i="3"/>
  <c r="X23" i="9"/>
  <c r="O25" i="19" s="1"/>
  <c r="BY25" i="3"/>
  <c r="X25" i="9"/>
  <c r="O27" i="19" s="1"/>
  <c r="BY27" i="3"/>
  <c r="X27" i="9"/>
  <c r="O29" i="19" s="1"/>
  <c r="BY29" i="3"/>
  <c r="X29" i="9"/>
  <c r="O31" i="19" s="1"/>
  <c r="BY31" i="3"/>
  <c r="X31" i="9"/>
  <c r="O33" i="19" s="1"/>
  <c r="BY33" i="3"/>
  <c r="X33" i="9"/>
  <c r="O35" i="19" s="1"/>
  <c r="BY35" i="3"/>
  <c r="X35" i="9"/>
  <c r="O37" i="19" s="1"/>
  <c r="BY37" i="3"/>
  <c r="X37" i="9"/>
  <c r="O39" i="19" s="1"/>
  <c r="BY39" i="3"/>
  <c r="X39" i="9"/>
  <c r="O41" i="19" s="1"/>
  <c r="BY41" i="3"/>
  <c r="X41" i="9"/>
  <c r="O43" i="19" s="1"/>
  <c r="BY43" i="3"/>
  <c r="X43" i="9"/>
  <c r="O45" i="19" s="1"/>
  <c r="BY45" i="3"/>
  <c r="X45" i="9"/>
  <c r="O47" i="19" s="1"/>
  <c r="BY47" i="3"/>
  <c r="X47" i="9"/>
  <c r="O49" i="19" s="1"/>
  <c r="BY49" i="3"/>
  <c r="X49" i="9"/>
  <c r="O51" i="19" s="1"/>
  <c r="BY51" i="3"/>
  <c r="X51" i="9"/>
  <c r="O53" i="19" s="1"/>
  <c r="BY53" i="3"/>
  <c r="X53" i="9"/>
  <c r="O55" i="19" s="1"/>
  <c r="BY10" i="3"/>
  <c r="X10" i="9"/>
  <c r="O12" i="19" s="1"/>
  <c r="CD10" i="3"/>
  <c r="AC10" i="9"/>
  <c r="T12" i="19" s="1"/>
  <c r="CD12" i="3"/>
  <c r="AC12" i="9"/>
  <c r="T14" i="19" s="1"/>
  <c r="CD14" i="3"/>
  <c r="AC14" i="9"/>
  <c r="T16" i="19" s="1"/>
  <c r="CD16" i="3"/>
  <c r="AC16" i="9"/>
  <c r="T18" i="19" s="1"/>
  <c r="CD18" i="3"/>
  <c r="AC18" i="9"/>
  <c r="T20" i="19" s="1"/>
  <c r="CD20" i="3"/>
  <c r="AC20" i="9"/>
  <c r="T22" i="19" s="1"/>
  <c r="CD22" i="3"/>
  <c r="AC22" i="9"/>
  <c r="T24" i="19" s="1"/>
  <c r="CD24" i="3"/>
  <c r="AC24" i="9"/>
  <c r="T26" i="19" s="1"/>
  <c r="CD26" i="3"/>
  <c r="AC26" i="9"/>
  <c r="T28" i="19" s="1"/>
  <c r="CD28" i="3"/>
  <c r="AC28" i="9"/>
  <c r="T30" i="19" s="1"/>
  <c r="CD30" i="3"/>
  <c r="AC30" i="9"/>
  <c r="T32" i="19" s="1"/>
  <c r="CD32" i="3"/>
  <c r="AC32" i="9"/>
  <c r="T34" i="19" s="1"/>
  <c r="CD34" i="3"/>
  <c r="AC34" i="9"/>
  <c r="T36" i="19" s="1"/>
  <c r="CD36" i="3"/>
  <c r="AC36" i="9"/>
  <c r="T38" i="19" s="1"/>
  <c r="CD38" i="3"/>
  <c r="AC38" i="9"/>
  <c r="T40" i="19" s="1"/>
  <c r="CD40" i="3"/>
  <c r="AC40" i="9"/>
  <c r="T42" i="19" s="1"/>
  <c r="CD42" i="3"/>
  <c r="AC42" i="9"/>
  <c r="T44" i="19" s="1"/>
  <c r="CD44" i="3"/>
  <c r="AC44" i="9"/>
  <c r="T46" i="19" s="1"/>
  <c r="CD46" i="3"/>
  <c r="AC46" i="9"/>
  <c r="T48" i="19" s="1"/>
  <c r="CD48" i="3"/>
  <c r="AC48" i="9"/>
  <c r="T50" i="19" s="1"/>
  <c r="CD50" i="3"/>
  <c r="AC50" i="9"/>
  <c r="T52" i="19" s="1"/>
  <c r="CD52" i="3"/>
  <c r="AC52" i="9"/>
  <c r="T54" i="19" s="1"/>
  <c r="CD54" i="3"/>
  <c r="AC54" i="9"/>
  <c r="T56" i="19" s="1"/>
  <c r="BZ10" i="3"/>
  <c r="Y10" i="9"/>
  <c r="P12" i="19" s="1"/>
  <c r="BZ12" i="3"/>
  <c r="Y12" i="9"/>
  <c r="P14" i="19" s="1"/>
  <c r="BZ14" i="3"/>
  <c r="Y14" i="9"/>
  <c r="P16" i="19" s="1"/>
  <c r="BZ16" i="3"/>
  <c r="Y16" i="9"/>
  <c r="P18" i="19" s="1"/>
  <c r="BZ18" i="3"/>
  <c r="Y18" i="9"/>
  <c r="P20" i="19" s="1"/>
  <c r="BZ20" i="3"/>
  <c r="Y20" i="9"/>
  <c r="P22" i="19" s="1"/>
  <c r="BZ22" i="3"/>
  <c r="Y22" i="9"/>
  <c r="P24" i="19" s="1"/>
  <c r="BZ24" i="3"/>
  <c r="Y24" i="9"/>
  <c r="P26" i="19" s="1"/>
  <c r="BZ26" i="3"/>
  <c r="Y26" i="9"/>
  <c r="P28" i="19" s="1"/>
  <c r="BZ28" i="3"/>
  <c r="Y28" i="9"/>
  <c r="P30" i="19" s="1"/>
  <c r="BZ30" i="3"/>
  <c r="Y30" i="9"/>
  <c r="P32" i="19" s="1"/>
  <c r="BZ32" i="3"/>
  <c r="Y32" i="9"/>
  <c r="P34" i="19" s="1"/>
  <c r="BZ34" i="3"/>
  <c r="Y34" i="9"/>
  <c r="P36" i="19" s="1"/>
  <c r="BZ36" i="3"/>
  <c r="Y36" i="9"/>
  <c r="P38" i="19" s="1"/>
  <c r="BZ38" i="3"/>
  <c r="Y38" i="9"/>
  <c r="P40" i="19" s="1"/>
  <c r="BZ40" i="3"/>
  <c r="Y40" i="9"/>
  <c r="P42" i="19" s="1"/>
  <c r="BZ42" i="3"/>
  <c r="Y42" i="9"/>
  <c r="P44" i="19" s="1"/>
  <c r="BZ44" i="3"/>
  <c r="Y44" i="9"/>
  <c r="P46" i="19" s="1"/>
  <c r="BZ46" i="3"/>
  <c r="Y46" i="9"/>
  <c r="P48" i="19" s="1"/>
  <c r="BZ48" i="3"/>
  <c r="Y48" i="9"/>
  <c r="P50" i="19" s="1"/>
  <c r="BZ50" i="3"/>
  <c r="Y50" i="9"/>
  <c r="P52" i="19" s="1"/>
  <c r="BZ52" i="3"/>
  <c r="Y52" i="9"/>
  <c r="P54" i="19" s="1"/>
  <c r="BZ54" i="3"/>
  <c r="Y54" i="9"/>
  <c r="P56" i="19" s="1"/>
  <c r="CA13" i="3"/>
  <c r="Z13" i="9"/>
  <c r="Q15" i="19" s="1"/>
  <c r="CA17" i="3"/>
  <c r="Z17" i="9"/>
  <c r="Q19" i="19" s="1"/>
  <c r="CA21" i="3"/>
  <c r="Z21" i="9"/>
  <c r="Q23" i="19" s="1"/>
  <c r="CA25" i="3"/>
  <c r="Z25" i="9"/>
  <c r="Q27" i="19" s="1"/>
  <c r="CA29" i="3"/>
  <c r="Z29" i="9"/>
  <c r="Q31" i="19" s="1"/>
  <c r="CA33" i="3"/>
  <c r="Z33" i="9"/>
  <c r="Q35" i="19" s="1"/>
  <c r="CA37" i="3"/>
  <c r="Z37" i="9"/>
  <c r="Q39" i="19" s="1"/>
  <c r="CA43" i="3"/>
  <c r="Z43" i="9"/>
  <c r="Q45" i="19" s="1"/>
  <c r="CA47" i="3"/>
  <c r="Z47" i="9"/>
  <c r="Q49" i="19" s="1"/>
  <c r="CA51" i="3"/>
  <c r="Z51" i="9"/>
  <c r="Q53" i="19" s="1"/>
  <c r="CA10" i="3"/>
  <c r="Z10" i="9"/>
  <c r="Q12" i="19" s="1"/>
  <c r="CC13" i="3"/>
  <c r="AB13" i="9"/>
  <c r="S15" i="19" s="1"/>
  <c r="CC17" i="3"/>
  <c r="AB17" i="9"/>
  <c r="S19" i="19" s="1"/>
  <c r="CC21" i="3"/>
  <c r="AB21" i="9"/>
  <c r="S23" i="19" s="1"/>
  <c r="CC25" i="3"/>
  <c r="AB25" i="9"/>
  <c r="S27" i="19" s="1"/>
  <c r="AB29" i="9"/>
  <c r="S31" i="19" s="1"/>
  <c r="CC29" i="3"/>
  <c r="CC33" i="3"/>
  <c r="AB33" i="9"/>
  <c r="S35" i="19" s="1"/>
  <c r="CC37" i="3"/>
  <c r="AB37" i="9"/>
  <c r="S39" i="19" s="1"/>
  <c r="CC41" i="3"/>
  <c r="AB41" i="9"/>
  <c r="S43" i="19" s="1"/>
  <c r="CC45" i="3"/>
  <c r="AB45" i="9"/>
  <c r="S47" i="19" s="1"/>
  <c r="CC51" i="3"/>
  <c r="AB51" i="9"/>
  <c r="S53" i="19" s="1"/>
  <c r="CC10" i="3"/>
  <c r="AB10" i="9"/>
  <c r="S12" i="19" s="1"/>
  <c r="CB13" i="3"/>
  <c r="AA13" i="9"/>
  <c r="R15" i="19" s="1"/>
  <c r="CB17" i="3"/>
  <c r="AA17" i="9"/>
  <c r="R19" i="19" s="1"/>
  <c r="CB21" i="3"/>
  <c r="AA21" i="9"/>
  <c r="R23" i="19" s="1"/>
  <c r="CB25" i="3"/>
  <c r="AA25" i="9"/>
  <c r="R27" i="19" s="1"/>
  <c r="CB27" i="3"/>
  <c r="AA27" i="9"/>
  <c r="R29" i="19" s="1"/>
  <c r="CB31" i="3"/>
  <c r="AA31" i="9"/>
  <c r="R33" i="19" s="1"/>
  <c r="CB35" i="3"/>
  <c r="AA35" i="9"/>
  <c r="R37" i="19" s="1"/>
  <c r="CB39" i="3"/>
  <c r="AA39" i="9"/>
  <c r="R41" i="19" s="1"/>
  <c r="CB43" i="3"/>
  <c r="AA43" i="9"/>
  <c r="R45" i="19" s="1"/>
  <c r="CB47" i="3"/>
  <c r="AA47" i="9"/>
  <c r="R49" i="19" s="1"/>
  <c r="CB51" i="3"/>
  <c r="AA51" i="9"/>
  <c r="R53" i="19" s="1"/>
  <c r="BY12" i="3"/>
  <c r="X12" i="9"/>
  <c r="O14" i="19" s="1"/>
  <c r="BY16" i="3"/>
  <c r="X16" i="9"/>
  <c r="O18" i="19" s="1"/>
  <c r="BY20" i="3"/>
  <c r="X20" i="9"/>
  <c r="O22" i="19" s="1"/>
  <c r="BY24" i="3"/>
  <c r="X24" i="9"/>
  <c r="O26" i="19" s="1"/>
  <c r="BY28" i="3"/>
  <c r="X28" i="9"/>
  <c r="O30" i="19" s="1"/>
  <c r="BY32" i="3"/>
  <c r="X32" i="9"/>
  <c r="O34" i="19" s="1"/>
  <c r="BY36" i="3"/>
  <c r="X36" i="9"/>
  <c r="O38" i="19" s="1"/>
  <c r="BY40" i="3"/>
  <c r="X40" i="9"/>
  <c r="O42" i="19" s="1"/>
  <c r="BY44" i="3"/>
  <c r="X44" i="9"/>
  <c r="O46" i="19" s="1"/>
  <c r="BY48" i="3"/>
  <c r="X48" i="9"/>
  <c r="O50" i="19" s="1"/>
  <c r="BY52" i="3"/>
  <c r="X52" i="9"/>
  <c r="O54" i="19" s="1"/>
  <c r="CD11" i="3"/>
  <c r="AC11" i="9"/>
  <c r="T13" i="19" s="1"/>
  <c r="CD15" i="3"/>
  <c r="AC15" i="9"/>
  <c r="T17" i="19" s="1"/>
  <c r="CD19" i="3"/>
  <c r="AC19" i="9"/>
  <c r="T21" i="19" s="1"/>
  <c r="CD25" i="3"/>
  <c r="AC25" i="9"/>
  <c r="T27" i="19" s="1"/>
  <c r="CD29" i="3"/>
  <c r="AC29" i="9"/>
  <c r="T31" i="19" s="1"/>
  <c r="CD33" i="3"/>
  <c r="AC33" i="9"/>
  <c r="T35" i="19" s="1"/>
  <c r="CD37" i="3"/>
  <c r="AC37" i="9"/>
  <c r="T39" i="19" s="1"/>
  <c r="CD41" i="3"/>
  <c r="AC41" i="9"/>
  <c r="T43" i="19" s="1"/>
  <c r="CD45" i="3"/>
  <c r="AC45" i="9"/>
  <c r="T47" i="19" s="1"/>
  <c r="CD49" i="3"/>
  <c r="AC49" i="9"/>
  <c r="T51" i="19" s="1"/>
  <c r="CD53" i="3"/>
  <c r="AC53" i="9"/>
  <c r="T55" i="19" s="1"/>
  <c r="BZ13" i="3"/>
  <c r="Y13" i="9"/>
  <c r="P15" i="19" s="1"/>
  <c r="BZ17" i="3"/>
  <c r="Y17" i="9"/>
  <c r="P19" i="19" s="1"/>
  <c r="BZ21" i="3"/>
  <c r="Y21" i="9"/>
  <c r="P23" i="19" s="1"/>
  <c r="BZ25" i="3"/>
  <c r="Y25" i="9"/>
  <c r="P27" i="19" s="1"/>
  <c r="BZ29" i="3"/>
  <c r="Y29" i="9"/>
  <c r="P31" i="19" s="1"/>
  <c r="BZ33" i="3"/>
  <c r="Y33" i="9"/>
  <c r="P35" i="19" s="1"/>
  <c r="BZ37" i="3"/>
  <c r="Y37" i="9"/>
  <c r="P39" i="19" s="1"/>
  <c r="BZ41" i="3"/>
  <c r="Y41" i="9"/>
  <c r="P43" i="19" s="1"/>
  <c r="BZ45" i="3"/>
  <c r="Y45" i="9"/>
  <c r="P47" i="19" s="1"/>
  <c r="BZ49" i="3"/>
  <c r="Y49" i="9"/>
  <c r="P51" i="19" s="1"/>
  <c r="BZ53" i="3"/>
  <c r="Y53" i="9"/>
  <c r="P55" i="19" s="1"/>
  <c r="CA14" i="3"/>
  <c r="Z14" i="9"/>
  <c r="Q16" i="19" s="1"/>
  <c r="CA18" i="3"/>
  <c r="Z18" i="9"/>
  <c r="Q20" i="19" s="1"/>
  <c r="CA22" i="3"/>
  <c r="Z22" i="9"/>
  <c r="Q24" i="19" s="1"/>
  <c r="CA26" i="3"/>
  <c r="Z26" i="9"/>
  <c r="Q28" i="19" s="1"/>
  <c r="CA30" i="3"/>
  <c r="Z30" i="9"/>
  <c r="Q32" i="19" s="1"/>
  <c r="CA34" i="3"/>
  <c r="Z34" i="9"/>
  <c r="Q36" i="19" s="1"/>
  <c r="CA38" i="3"/>
  <c r="Z38" i="9"/>
  <c r="Q40" i="19" s="1"/>
  <c r="CA42" i="3"/>
  <c r="Z42" i="9"/>
  <c r="Q44" i="19" s="1"/>
  <c r="CA46" i="3"/>
  <c r="Z46" i="9"/>
  <c r="Q48" i="19" s="1"/>
  <c r="CA50" i="3"/>
  <c r="Z50" i="9"/>
  <c r="Q52" i="19" s="1"/>
  <c r="CA54" i="3"/>
  <c r="Z54" i="9"/>
  <c r="Q56" i="19" s="1"/>
  <c r="CC14" i="3"/>
  <c r="AB14" i="9"/>
  <c r="S16" i="19" s="1"/>
  <c r="CC18" i="3"/>
  <c r="AB18" i="9"/>
  <c r="S20" i="19" s="1"/>
  <c r="CC22" i="3"/>
  <c r="AB22" i="9"/>
  <c r="S24" i="19" s="1"/>
  <c r="CC28" i="3"/>
  <c r="AB28" i="9"/>
  <c r="S30" i="19" s="1"/>
  <c r="CC40" i="3"/>
  <c r="AB40" i="9"/>
  <c r="S42" i="19" s="1"/>
  <c r="Z18" i="24"/>
  <c r="Z20" i="24" s="1"/>
  <c r="S31" i="24"/>
  <c r="S31" i="23"/>
  <c r="Z19" i="23"/>
  <c r="Z20" i="23"/>
  <c r="I31" i="6"/>
  <c r="J30" i="6"/>
  <c r="Y10" i="6" l="1"/>
  <c r="Y12" i="6" s="1"/>
  <c r="AG20" i="24"/>
  <c r="AG19" i="24"/>
  <c r="AG20" i="23"/>
  <c r="AG19" i="23"/>
  <c r="E49" i="23" s="1"/>
  <c r="AF10" i="6"/>
  <c r="AF11" i="6"/>
  <c r="M11" i="20"/>
  <c r="P112" i="9"/>
  <c r="P113" i="9" s="1"/>
  <c r="R113" i="9" s="1"/>
  <c r="S113" i="9" s="1"/>
  <c r="Q14" i="20" s="1"/>
  <c r="B25" i="20" s="1"/>
  <c r="E12" i="20"/>
  <c r="F16" i="9"/>
  <c r="G12" i="20" s="1"/>
  <c r="X24" i="6"/>
  <c r="R23" i="6" s="1"/>
  <c r="R54" i="6" s="1"/>
  <c r="E47" i="6"/>
  <c r="E52" i="6" s="1"/>
  <c r="E26" i="6"/>
  <c r="R28" i="19"/>
  <c r="D19" i="9"/>
  <c r="Z19" i="24"/>
  <c r="R41" i="24"/>
  <c r="R42" i="24" s="1"/>
  <c r="E17" i="24"/>
  <c r="Q34" i="24"/>
  <c r="Q35" i="24" s="1"/>
  <c r="R55" i="24"/>
  <c r="E19" i="24" s="1"/>
  <c r="E17" i="23"/>
  <c r="R41" i="23"/>
  <c r="R42" i="23" s="1"/>
  <c r="Q34" i="23"/>
  <c r="Q35" i="23" s="1"/>
  <c r="R55" i="23"/>
  <c r="E19" i="23" s="1"/>
  <c r="F34" i="9"/>
  <c r="D50" i="20" s="1"/>
  <c r="G50" i="20" s="1"/>
  <c r="G39" i="20"/>
  <c r="E32" i="6"/>
  <c r="J32" i="6" s="1"/>
  <c r="E31" i="6"/>
  <c r="AF12" i="6" l="1"/>
  <c r="AG15" i="6" s="1"/>
  <c r="E49" i="24"/>
  <c r="Z15" i="6"/>
  <c r="AG16" i="6"/>
  <c r="Q28" i="6"/>
  <c r="Q30" i="6" s="1"/>
  <c r="R53" i="6"/>
  <c r="E18" i="6" s="1"/>
  <c r="Z17" i="6"/>
  <c r="D15" i="20"/>
  <c r="G19" i="9"/>
  <c r="G15" i="20" s="1"/>
  <c r="D91" i="9"/>
  <c r="D93" i="9" s="1"/>
  <c r="C24" i="9" s="1"/>
  <c r="E24" i="9" s="1"/>
  <c r="F24" i="9" s="1"/>
  <c r="G24" i="9" s="1"/>
  <c r="E54" i="23"/>
  <c r="E55" i="23" s="1"/>
  <c r="I3" i="23" s="1"/>
  <c r="I34" i="22" s="1"/>
  <c r="L34" i="22"/>
  <c r="M34" i="22" s="1"/>
  <c r="Q48" i="24"/>
  <c r="R48" i="24" s="1"/>
  <c r="R49" i="24" s="1"/>
  <c r="G17" i="24"/>
  <c r="Q37" i="24" s="1"/>
  <c r="G18" i="24"/>
  <c r="G24" i="24"/>
  <c r="H27" i="24"/>
  <c r="G19" i="24"/>
  <c r="G18" i="23"/>
  <c r="G24" i="23"/>
  <c r="H27" i="23"/>
  <c r="G19" i="23"/>
  <c r="Q48" i="23"/>
  <c r="R48" i="23" s="1"/>
  <c r="R49" i="23" s="1"/>
  <c r="G17" i="23"/>
  <c r="Q37" i="23" s="1"/>
  <c r="Z16" i="6"/>
  <c r="L33" i="22" l="1"/>
  <c r="M33" i="22" s="1"/>
  <c r="E54" i="24"/>
  <c r="AG17" i="6"/>
  <c r="AG18" i="6" s="1"/>
  <c r="E55" i="24"/>
  <c r="I3" i="24" s="1"/>
  <c r="Q31" i="6"/>
  <c r="S31" i="6" s="1"/>
  <c r="R41" i="6" s="1"/>
  <c r="R42" i="6" s="1"/>
  <c r="Z18" i="6"/>
  <c r="Z19" i="6" s="1"/>
  <c r="I7" i="23"/>
  <c r="H34" i="22" s="1"/>
  <c r="G16" i="24"/>
  <c r="R50" i="24"/>
  <c r="I7" i="24"/>
  <c r="H33" i="22" s="1"/>
  <c r="I2" i="24"/>
  <c r="J3" i="23"/>
  <c r="R50" i="23"/>
  <c r="G16" i="23"/>
  <c r="I2" i="23"/>
  <c r="F35" i="9"/>
  <c r="G38" i="20"/>
  <c r="AG20" i="6" l="1"/>
  <c r="AG19" i="6"/>
  <c r="E49" i="6" s="1"/>
  <c r="E54" i="6" s="1"/>
  <c r="I33" i="22"/>
  <c r="J3" i="24"/>
  <c r="Z20" i="6"/>
  <c r="D51" i="20"/>
  <c r="G51" i="20" s="1"/>
  <c r="G53" i="20" s="1"/>
  <c r="R55" i="6"/>
  <c r="E19" i="6" s="1"/>
  <c r="G24" i="6" s="1"/>
  <c r="E17" i="6"/>
  <c r="Q34" i="6"/>
  <c r="Q35" i="6" s="1"/>
  <c r="G17" i="6"/>
  <c r="Q37" i="6" s="1"/>
  <c r="Q48" i="6"/>
  <c r="R48" i="6" s="1"/>
  <c r="R49" i="6" s="1"/>
  <c r="I2" i="6" l="1"/>
  <c r="I7" i="6"/>
  <c r="T5" i="3" s="1"/>
  <c r="AZ4" i="3"/>
  <c r="G19" i="6"/>
  <c r="H27" i="6"/>
  <c r="G18" i="6"/>
  <c r="G16" i="6"/>
  <c r="R50" i="6"/>
  <c r="X5" i="3"/>
  <c r="E55" i="6"/>
  <c r="I3" i="6" s="1"/>
  <c r="J3" i="6" s="1"/>
  <c r="V5" i="3" l="1"/>
</calcChain>
</file>

<file path=xl/sharedStrings.xml><?xml version="1.0" encoding="utf-8"?>
<sst xmlns="http://schemas.openxmlformats.org/spreadsheetml/2006/main" count="2107" uniqueCount="661">
  <si>
    <t>I</t>
  </si>
  <si>
    <t>A</t>
  </si>
  <si>
    <t>IV</t>
  </si>
  <si>
    <t>M72</t>
  </si>
  <si>
    <t>10A</t>
  </si>
  <si>
    <t>0.50 S</t>
  </si>
  <si>
    <t>0.25 S</t>
  </si>
  <si>
    <t>Effective Span</t>
  </si>
  <si>
    <t>* This table is for ASTM A-615 Grade 60 steel and 28 MPa or 31 MPa concrete only.</t>
  </si>
  <si>
    <t>**B2 barrier bars are #13.</t>
  </si>
  <si>
    <t>Notes:</t>
  </si>
  <si>
    <t>1. Check haunch depth on steel structure and on sag verticals.</t>
  </si>
  <si>
    <t>2. Use same haunch depth for all spans.</t>
  </si>
  <si>
    <t>Steel Girders: S = C - ½ Flange Width</t>
  </si>
  <si>
    <t>#13 Dist Steel</t>
  </si>
  <si>
    <t>Effective</t>
  </si>
  <si>
    <t>Top Long Steel</t>
  </si>
  <si>
    <t>Size</t>
  </si>
  <si>
    <t>Spacing</t>
  </si>
  <si>
    <t>Transverse Steel</t>
  </si>
  <si>
    <t>Min Haunch Depth</t>
  </si>
  <si>
    <t>Standard</t>
  </si>
  <si>
    <t>Haunch</t>
  </si>
  <si>
    <t>Beam Type</t>
  </si>
  <si>
    <t>Flange Width</t>
  </si>
  <si>
    <t>MT-28</t>
  </si>
  <si>
    <t>Nominal Area</t>
  </si>
  <si>
    <t>Nominal Weight</t>
  </si>
  <si>
    <t>Nominal Diameter</t>
  </si>
  <si>
    <t xml:space="preserve">cm2 </t>
  </si>
  <si>
    <t>inch2 </t>
  </si>
  <si>
    <t xml:space="preserve">kg/m </t>
  </si>
  <si>
    <t>lb/ft </t>
  </si>
  <si>
    <t xml:space="preserve">cm </t>
  </si>
  <si>
    <t>inch</t>
  </si>
  <si>
    <t># 10</t>
  </si>
  <si>
    <t># 11</t>
  </si>
  <si>
    <t># 14</t>
  </si>
  <si>
    <t># 18</t>
  </si>
  <si>
    <t># 3</t>
  </si>
  <si>
    <t># 4</t>
  </si>
  <si>
    <t># 5</t>
  </si>
  <si>
    <t># 6</t>
  </si>
  <si>
    <t># 7</t>
  </si>
  <si>
    <t># 8</t>
  </si>
  <si>
    <t># 9</t>
  </si>
  <si>
    <t>Bar Size Designation</t>
  </si>
  <si>
    <t>SI</t>
  </si>
  <si>
    <t>US</t>
  </si>
  <si>
    <t>Common Steel Grades</t>
  </si>
  <si>
    <t>ASTM A 615 (Most Common)</t>
  </si>
  <si>
    <t>Mpa</t>
  </si>
  <si>
    <t>ksi</t>
  </si>
  <si>
    <t>ASTM A 706 (Special Applications and Seismic Design)</t>
  </si>
  <si>
    <t>Preliminary Quantity Estimate per Bay</t>
  </si>
  <si>
    <t>Concrete</t>
  </si>
  <si>
    <t>Steel</t>
  </si>
  <si>
    <t>Transverse</t>
  </si>
  <si>
    <t>Distribution</t>
  </si>
  <si>
    <t>Top Longitudinal</t>
  </si>
  <si>
    <t>Dist Steel</t>
  </si>
  <si>
    <t>Crown Assumed</t>
  </si>
  <si>
    <t>SL-5</t>
  </si>
  <si>
    <t>Overhang</t>
  </si>
  <si>
    <t>Edge t</t>
  </si>
  <si>
    <t>Drop @ BM</t>
  </si>
  <si>
    <t>Add Steel</t>
  </si>
  <si>
    <t>Curb</t>
  </si>
  <si>
    <t>SL-7</t>
  </si>
  <si>
    <t>SL-6</t>
  </si>
  <si>
    <t>Thickness at edge</t>
  </si>
  <si>
    <t>Amount Beam is Embedded into overhang</t>
  </si>
  <si>
    <t>Typically 3 Longitudinal top &amp; bottom + any required for rail/barrier</t>
  </si>
  <si>
    <t>Rail Type</t>
  </si>
  <si>
    <t>This Beam and Rail</t>
  </si>
  <si>
    <t>This Rail</t>
  </si>
  <si>
    <t>Pointer</t>
  </si>
  <si>
    <t>Rail</t>
  </si>
  <si>
    <t>Preliminary Overhang Quantities</t>
  </si>
  <si>
    <t>Pointer used to lookup in main table</t>
  </si>
  <si>
    <t>Additional</t>
  </si>
  <si>
    <t>1/2 Haunch</t>
  </si>
  <si>
    <t>Bay</t>
  </si>
  <si>
    <t>No. of Bays</t>
  </si>
  <si>
    <t>Total</t>
  </si>
  <si>
    <t>Length</t>
  </si>
  <si>
    <t>Other</t>
  </si>
  <si>
    <t>Span (ft)</t>
  </si>
  <si>
    <t>T (in)</t>
  </si>
  <si>
    <t>Ft</t>
  </si>
  <si>
    <t>lb/ft of bay</t>
  </si>
  <si>
    <t>lb/ft of overhang</t>
  </si>
  <si>
    <t xml:space="preserve">lb/ft </t>
  </si>
  <si>
    <t>cuft/ft of bay</t>
  </si>
  <si>
    <t>cuft/ft of overhang</t>
  </si>
  <si>
    <t>3500 psi Concrete</t>
  </si>
  <si>
    <t>6 longitudinal #4's</t>
  </si>
  <si>
    <t>2, #5 U bars @ 8'-4" post spacing, 4'-4" ea</t>
  </si>
  <si>
    <t>2 Longitudinal #4's &amp; C1 #4 hoops @ 9", 5' ea</t>
  </si>
  <si>
    <t>Input needed for "Other" Type Beam</t>
  </si>
  <si>
    <t>Beam spacing - This Value = Effective Span</t>
  </si>
  <si>
    <t>Width of beam top flange</t>
  </si>
  <si>
    <t>Curb or barrier volume included in concrete Quantity</t>
  </si>
  <si>
    <t xml:space="preserve">Type I: S = C - 1 </t>
  </si>
  <si>
    <t>Type A: S = C - 1.333  Flange Width</t>
  </si>
  <si>
    <t>Type IV: S = C - 1.6667</t>
  </si>
  <si>
    <t>Type M72: S = C - 1.25 (Flange / 2)</t>
  </si>
  <si>
    <t>Type MT-28: S = C - 1.5417  (Flange/2)</t>
  </si>
  <si>
    <t>Type 10A: S = C - 1.9583 (Flange + Web) / 2</t>
  </si>
  <si>
    <t>MTS-All</t>
  </si>
  <si>
    <t>Additional Steel over Intermediate Bent</t>
  </si>
  <si>
    <t>S-5</t>
  </si>
  <si>
    <t>S-6</t>
  </si>
  <si>
    <t>Bar</t>
  </si>
  <si>
    <t>Number</t>
  </si>
  <si>
    <t>Beam to FOR</t>
  </si>
  <si>
    <t>CL Ext Bm to face of rail/curb</t>
  </si>
  <si>
    <t>ft spacing each</t>
  </si>
  <si>
    <t>Bm to FOR</t>
  </si>
  <si>
    <t>Preliminary Quantities</t>
  </si>
  <si>
    <t>D1</t>
  </si>
  <si>
    <t>D2</t>
  </si>
  <si>
    <t>D3</t>
  </si>
  <si>
    <t>D4</t>
  </si>
  <si>
    <t>D5</t>
  </si>
  <si>
    <t>D6</t>
  </si>
  <si>
    <t>D7</t>
  </si>
  <si>
    <t>D8</t>
  </si>
  <si>
    <t>Diaphragm Correct, ft</t>
  </si>
  <si>
    <t>D5 Count</t>
  </si>
  <si>
    <t>Diaphragm Rebar</t>
  </si>
  <si>
    <t>D9</t>
  </si>
  <si>
    <t>D7 Length</t>
  </si>
  <si>
    <t>Wt/Bay</t>
  </si>
  <si>
    <t>Wt / Line</t>
  </si>
  <si>
    <t>Intermediate Diaphragm</t>
  </si>
  <si>
    <t>End Diaphragm</t>
  </si>
  <si>
    <t>Lines</t>
  </si>
  <si>
    <t>Skew</t>
  </si>
  <si>
    <t>Cos(Skew)</t>
  </si>
  <si>
    <t>Additional Steel Over Bents</t>
  </si>
  <si>
    <t>lb / Bent</t>
  </si>
  <si>
    <t>Bents</t>
  </si>
  <si>
    <t>x</t>
  </si>
  <si>
    <t>Rectangle</t>
  </si>
  <si>
    <t>Fillit</t>
  </si>
  <si>
    <t>Int Diaphragm Line</t>
  </si>
  <si>
    <t>End Diaphragm Line</t>
  </si>
  <si>
    <t>lb</t>
  </si>
  <si>
    <t>lb / Line</t>
  </si>
  <si>
    <t>MTS-36</t>
  </si>
  <si>
    <t>MTS-45</t>
  </si>
  <si>
    <t>MTS-54</t>
  </si>
  <si>
    <t>MTS-72</t>
  </si>
  <si>
    <t>B1</t>
  </si>
  <si>
    <t>B2</t>
  </si>
  <si>
    <t>B3</t>
  </si>
  <si>
    <t>B100</t>
  </si>
  <si>
    <t>Add Steel in overhangs based on rail type</t>
  </si>
  <si>
    <t>LL Moment includes I=1.3 and 0.8 for continuous over 3 supports, HS-20</t>
  </si>
  <si>
    <t>Mll = 520 * (ESpan + 2)</t>
  </si>
  <si>
    <t>'  DL Moment approximated as (0.11 * w * l * l) for uniform load</t>
  </si>
  <si>
    <t>'  continuous over at least three spans</t>
  </si>
  <si>
    <t>'  0.11 * w = 0.11 * t/12 * 150 = 16.5 * t/12</t>
  </si>
  <si>
    <t>Mdl = T / 12 * (ESpan ^ 2) * 16.5</t>
  </si>
  <si>
    <t>Mdgn = 1.3 * (Mdl + 5 / 3 * Mll)</t>
  </si>
  <si>
    <t>LRFD Strip Method</t>
  </si>
  <si>
    <t>Table 4.6.2.1.3-1 Equivalent Strips.</t>
  </si>
  <si>
    <t>45.0 + 10.0X</t>
  </si>
  <si>
    <t>+M: 26.0 + 6.6S</t>
  </si>
  <si>
    <t>-M: 48.0 + 3.0S</t>
  </si>
  <si>
    <t>Concrete Cast in Place</t>
  </si>
  <si>
    <t>X = distance from load to point of support (ft.)</t>
  </si>
  <si>
    <t>Strip Width, in</t>
  </si>
  <si>
    <t>S = spacing of supporting components (ft.)</t>
  </si>
  <si>
    <t>32 k Axel</t>
  </si>
  <si>
    <t>6 ft "Dual" spacing (c to c)</t>
  </si>
  <si>
    <t>Tire Contact 20 x 10 in</t>
  </si>
  <si>
    <t>The design tandem shall consist of a pair of 25.0-kip</t>
  </si>
  <si>
    <t>axles spaced 4.0 ft. apart. The transverse spacing of wheels</t>
  </si>
  <si>
    <t>shall be taken as 6.0 ft. A dynamic load allowance shall be</t>
  </si>
  <si>
    <t>considered as specified in Article 3.6.2.</t>
  </si>
  <si>
    <t>3.6.1.2.3 Design Tandem</t>
  </si>
  <si>
    <t>3.6.1.2.2 Design Truck</t>
  </si>
  <si>
    <t>direction, only the axles of the design truck of</t>
  </si>
  <si>
    <t>Article 3.6.1.2.2 or design tandem of</t>
  </si>
  <si>
    <t>Article 3.6.1.2.3 shall be applied to the deck slab</t>
  </si>
  <si>
    <t>or the top slab of box culverts.</t>
  </si>
  <si>
    <t>3.6.1.3.3 Design Loads for Decks, Deck Systems,</t>
  </si>
  <si>
    <t>9.7.3 Traditional Design</t>
  </si>
  <si>
    <t>9.7.3.2 Distribution Reinforcement</t>
  </si>
  <si>
    <t>220 / S^0.5 ≤ 67 percent</t>
  </si>
  <si>
    <t>For primary reinforcement perpendicular to traffic:</t>
  </si>
  <si>
    <t>S = the effective span length taken as equal to the</t>
  </si>
  <si>
    <t>effective length specified in Article 9.7.2.3 (ft.)</t>
  </si>
  <si>
    <t>9.7.2.3 Effective Length</t>
  </si>
  <si>
    <t>the distance between flange tips, plus the flange</t>
  </si>
  <si>
    <t>overhang, taken as the distance from the extreme</t>
  </si>
  <si>
    <t>flange tip to the face of the web, disregarding any</t>
  </si>
  <si>
    <t>fillets.</t>
  </si>
  <si>
    <t>Negative Moment</t>
  </si>
  <si>
    <t>Distance from CL of Girder to Design Section for Negative Moment</t>
  </si>
  <si>
    <t>S</t>
  </si>
  <si>
    <t>Positive</t>
  </si>
  <si>
    <t>in</t>
  </si>
  <si>
    <t>in.</t>
  </si>
  <si>
    <t>Table 1 may be used in determining the design moments for different girder arrangements. The following</t>
  </si>
  <si>
    <t>assumptions and limitations were used in developing this table and should be considered when using the listed values</t>
  </si>
  <si>
    <t>for design:</t>
  </si>
  <si>
    <t>parallel girders.</t>
  </si>
  <si>
    <t>• Multiple presence factors and the dynamic load allowance are included in the tabulated values.</t>
  </si>
  <si>
    <t>• See Article 4.6.2.1.6 for the distance between the center of the girders to the location of the design sections</t>
  </si>
  <si>
    <t>for negative moments in the deck. Interpolation between the listed values may be used for distances other</t>
  </si>
  <si>
    <t>than those listed in Table 1.</t>
  </si>
  <si>
    <t>• The moments are applicable for decks supported on at least three girders and having a width of not less than</t>
  </si>
  <si>
    <t>14.0 ft. between the centerlines of the exterior girders.</t>
  </si>
  <si>
    <t>specific girder spacing, were taken as the maximum value calculated, assuming different number of girders</t>
  </si>
  <si>
    <t>in the bridge cross-section. For each combination of girder spacing and number of girders, the following two</t>
  </si>
  <si>
    <t>cases of overhang width were considered:</t>
  </si>
  <si>
    <t>(a) Minimum total overhang width of 21.0 in. measured from the center of the exterior girder, and</t>
  </si>
  <si>
    <t>(b) Maximum total overhang width equal to the smaller of 0.625 times the girder spacing and 6.0 ft.</t>
  </si>
  <si>
    <t>A railing system width of 21.0 in. was used to determine the clear overhang width. For other widths of</t>
  </si>
  <si>
    <t>railing systems, the difference in the moments in the interior regions of the deck is expected to be within the</t>
  </si>
  <si>
    <t>acceptable limits for practical design.</t>
  </si>
  <si>
    <t>• The moments do not apply to the deck overhangs and the adjacent regions of the deck that need to be</t>
  </si>
  <si>
    <t>designed taking into account the provisions of Article A13.4.1.</t>
  </si>
  <si>
    <t>• It was found that the effect of two 25k axles of the tandem, placed at 4.0 ft. from each other, produced</t>
  </si>
  <si>
    <t>maximum effects under each of the tires approximately equal to the effect of the 32k truck axle. The tandem</t>
  </si>
  <si>
    <t>produces a larger total moment, but this moment is spread over a larger width. It was concluded that</t>
  </si>
  <si>
    <t>repeating calculations with a different strip width for the tandem would not result in a significant difference.</t>
  </si>
  <si>
    <t>Mdgn = 1.25*DC + 1.5*DW + 1.75*LL</t>
  </si>
  <si>
    <t>Moment</t>
  </si>
  <si>
    <t>4.6.2.1.6 Calculation of Force Effects</t>
  </si>
  <si>
    <t>For old prestress shapes (1, A, IV) use "face of the supporting member.</t>
  </si>
  <si>
    <t>For Steel I beams, use 1/4 the flange width from centerline of support.</t>
  </si>
  <si>
    <t>For precast I-shaped concrete beams, use 1/3 the flange width but not more then 15 in from centerline of support.</t>
  </si>
  <si>
    <t>The design section for negative moments and shear forces, where investigated, may be taken as follows:</t>
  </si>
  <si>
    <t>(Intrepretation)</t>
  </si>
  <si>
    <t>Negative Section</t>
  </si>
  <si>
    <t>Main Input</t>
  </si>
  <si>
    <t>Validation List</t>
  </si>
  <si>
    <t xml:space="preserve">Member Width, </t>
  </si>
  <si>
    <t>Area</t>
  </si>
  <si>
    <t xml:space="preserve">E Concrete = </t>
  </si>
  <si>
    <t>Member Depth,</t>
  </si>
  <si>
    <t xml:space="preserve">E Steel = </t>
  </si>
  <si>
    <t>Concrete Strength,</t>
  </si>
  <si>
    <t xml:space="preserve">n = </t>
  </si>
  <si>
    <t xml:space="preserve">Steel Strength, </t>
  </si>
  <si>
    <t>Quadratic Coeficcients</t>
  </si>
  <si>
    <t>Factored Moment,</t>
  </si>
  <si>
    <t>in-k</t>
  </si>
  <si>
    <t xml:space="preserve">Depth to Centriod = </t>
  </si>
  <si>
    <t>B</t>
  </si>
  <si>
    <t>C</t>
  </si>
  <si>
    <t>Find Cracked Inertia</t>
  </si>
  <si>
    <t>Concrete Cover (bottom),</t>
  </si>
  <si>
    <t>Solution 1</t>
  </si>
  <si>
    <t>Compression Concrete</t>
  </si>
  <si>
    <t xml:space="preserve">Concrete Cover (sides), </t>
  </si>
  <si>
    <t>Solution 2</t>
  </si>
  <si>
    <t>Stirrup or Tie Size,</t>
  </si>
  <si>
    <t xml:space="preserve">Icr = </t>
  </si>
  <si>
    <t>in4</t>
  </si>
  <si>
    <t>Required Area of Steel</t>
  </si>
  <si>
    <t xml:space="preserve">fs = </t>
  </si>
  <si>
    <t xml:space="preserve">Assumed phi = </t>
  </si>
  <si>
    <t xml:space="preserve">Concrete Compression Stress = </t>
  </si>
  <si>
    <t xml:space="preserve">Concrete Tension Stress = </t>
  </si>
  <si>
    <t>Solving for the required area of steel for a given moment.</t>
  </si>
  <si>
    <t>Choose Reinforcement</t>
  </si>
  <si>
    <t>Bar Size</t>
  </si>
  <si>
    <t>Actual No.</t>
  </si>
  <si>
    <t>No. Needed</t>
  </si>
  <si>
    <t>Bar Area</t>
  </si>
  <si>
    <t xml:space="preserve"> Layer Area</t>
  </si>
  <si>
    <t>Implementation</t>
  </si>
  <si>
    <t>2nd Layer</t>
  </si>
  <si>
    <t>Bottom Layer</t>
  </si>
  <si>
    <t>Find d and dt</t>
  </si>
  <si>
    <t>Layer Clear Space</t>
  </si>
  <si>
    <t>Assumed Phi =</t>
  </si>
  <si>
    <t>Assumed d =</t>
  </si>
  <si>
    <t xml:space="preserve">d = </t>
  </si>
  <si>
    <t xml:space="preserve">Assumed dt = </t>
  </si>
  <si>
    <t xml:space="preserve">Provided / Required = </t>
  </si>
  <si>
    <t>Coefficients for Quadratic Equation</t>
  </si>
  <si>
    <t>Diameter</t>
  </si>
  <si>
    <t>Depth</t>
  </si>
  <si>
    <t>Check Strength and Steel Strain</t>
  </si>
  <si>
    <t xml:space="preserve">Mn = </t>
  </si>
  <si>
    <t xml:space="preserve">Steel Strain = </t>
  </si>
  <si>
    <t>Final Phi =</t>
  </si>
  <si>
    <t>Phi * Mn =</t>
  </si>
  <si>
    <t xml:space="preserve">Capacity / Demand = </t>
  </si>
  <si>
    <t>Min</t>
  </si>
  <si>
    <t xml:space="preserve">dt = </t>
  </si>
  <si>
    <t>Check Minimum "As" solution</t>
  </si>
  <si>
    <t>find Steel Strain and Phi</t>
  </si>
  <si>
    <t>Use Minimum Solution</t>
  </si>
  <si>
    <t>Steel Strain</t>
  </si>
  <si>
    <t>Note: Minimum As solution is the general solution.</t>
  </si>
  <si>
    <t>OK?</t>
  </si>
  <si>
    <t>&gt;0.004</t>
  </si>
  <si>
    <t>Check Phi</t>
  </si>
  <si>
    <t>Depth to center of extreme bar</t>
  </si>
  <si>
    <t>Beta1</t>
  </si>
  <si>
    <t>c</t>
  </si>
  <si>
    <t>Interpolation for Phi</t>
  </si>
  <si>
    <t>Strain</t>
  </si>
  <si>
    <t>Phi</t>
  </si>
  <si>
    <t>Upper Bound</t>
  </si>
  <si>
    <t>Lower Bound</t>
  </si>
  <si>
    <t>This Case</t>
  </si>
  <si>
    <t>Actual Phi =</t>
  </si>
  <si>
    <t>Greater of;</t>
  </si>
  <si>
    <t>3 * sqrt(fc')*bw*d/fy =</t>
  </si>
  <si>
    <t>200*bw*d/fy =</t>
  </si>
  <si>
    <t>Required As</t>
  </si>
  <si>
    <r>
      <t>A</t>
    </r>
    <r>
      <rPr>
        <b/>
        <vertAlign val="subscript"/>
        <sz val="10"/>
        <rFont val="Arial"/>
        <family val="2"/>
      </rPr>
      <t>s</t>
    </r>
    <r>
      <rPr>
        <sz val="10"/>
        <rFont val="Arial"/>
        <family val="2"/>
      </rPr>
      <t xml:space="preserve">, for strength = </t>
    </r>
  </si>
  <si>
    <r>
      <t>in</t>
    </r>
    <r>
      <rPr>
        <vertAlign val="superscript"/>
        <sz val="10"/>
        <rFont val="Arial"/>
        <family val="2"/>
      </rPr>
      <t>2</t>
    </r>
  </si>
  <si>
    <r>
      <t>A</t>
    </r>
    <r>
      <rPr>
        <b/>
        <vertAlign val="subscript"/>
        <sz val="10"/>
        <rFont val="Arial"/>
        <family val="2"/>
      </rPr>
      <t>s,min</t>
    </r>
    <r>
      <rPr>
        <sz val="10"/>
        <rFont val="Arial"/>
        <family val="2"/>
      </rPr>
      <t xml:space="preserve"> = </t>
    </r>
  </si>
  <si>
    <r>
      <t>Required A</t>
    </r>
    <r>
      <rPr>
        <b/>
        <vertAlign val="subscript"/>
        <sz val="10"/>
        <rFont val="Arial"/>
        <family val="2"/>
      </rPr>
      <t>s</t>
    </r>
    <r>
      <rPr>
        <sz val="10"/>
        <rFont val="Arial"/>
        <family val="2"/>
      </rPr>
      <t xml:space="preserve"> = </t>
    </r>
  </si>
  <si>
    <r>
      <t>d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 xml:space="preserve"> = </t>
    </r>
  </si>
  <si>
    <r>
      <t>Check A</t>
    </r>
    <r>
      <rPr>
        <b/>
        <vertAlign val="subscript"/>
        <sz val="10"/>
        <rFont val="Arial"/>
        <family val="2"/>
      </rPr>
      <t>s,min</t>
    </r>
    <r>
      <rPr>
        <b/>
        <sz val="10"/>
        <rFont val="Arial"/>
        <family val="2"/>
      </rPr>
      <t xml:space="preserve"> Requirement</t>
    </r>
  </si>
  <si>
    <t>Minimum Inside Bend Dia</t>
  </si>
  <si>
    <t>Stirrups &amp; Ties</t>
  </si>
  <si>
    <t>General</t>
  </si>
  <si>
    <t>Designation </t>
  </si>
  <si>
    <t>Bar Dia's</t>
  </si>
  <si>
    <t>Inch</t>
  </si>
  <si>
    <t>Red columns interpolated into table.</t>
  </si>
  <si>
    <t>Bold Negative Moments are &gt; Positive Moments</t>
  </si>
  <si>
    <t>bar Spacing</t>
  </si>
  <si>
    <t xml:space="preserve"> T / 12 * (ESpan ^ 2) * 16.5</t>
  </si>
  <si>
    <t>Factored M-</t>
  </si>
  <si>
    <t>Bottom</t>
  </si>
  <si>
    <t xml:space="preserve">Top Transverse Steel </t>
  </si>
  <si>
    <t>Web Width</t>
  </si>
  <si>
    <t>Eff Len Correction</t>
  </si>
  <si>
    <t>Required Primary Steel</t>
  </si>
  <si>
    <t>Dist</t>
  </si>
  <si>
    <t>Distribution Steel</t>
  </si>
  <si>
    <t>Cover</t>
  </si>
  <si>
    <t>AASHTO Distribution of Reinforcement</t>
  </si>
  <si>
    <t xml:space="preserve">dc = </t>
  </si>
  <si>
    <t xml:space="preserve">γe = </t>
  </si>
  <si>
    <t xml:space="preserve">fss = </t>
  </si>
  <si>
    <t xml:space="preserve">h = </t>
  </si>
  <si>
    <t>5.7.3.4 Control of Cracking by Distrubution of Reinforcement</t>
  </si>
  <si>
    <t>class 2</t>
  </si>
  <si>
    <t xml:space="preserve">βs = </t>
  </si>
  <si>
    <t xml:space="preserve">s ≤ </t>
  </si>
  <si>
    <t>Rounded</t>
  </si>
  <si>
    <t>Spacing, Strength</t>
  </si>
  <si>
    <t>Spacing, Distribution</t>
  </si>
  <si>
    <t xml:space="preserve">Spacing </t>
  </si>
  <si>
    <t xml:space="preserve">for </t>
  </si>
  <si>
    <t>Service M-</t>
  </si>
  <si>
    <t>Trans</t>
  </si>
  <si>
    <t>Number Required</t>
  </si>
  <si>
    <t>Actual</t>
  </si>
  <si>
    <t>Beam</t>
  </si>
  <si>
    <t>Top</t>
  </si>
  <si>
    <t>Count</t>
  </si>
  <si>
    <t>Pointers to main table</t>
  </si>
  <si>
    <t xml:space="preserve">fc' = </t>
  </si>
  <si>
    <t>DL Moment Considerations</t>
  </si>
  <si>
    <t>2 Span</t>
  </si>
  <si>
    <t>3 Span</t>
  </si>
  <si>
    <t>4 Span</t>
  </si>
  <si>
    <t>Max M-</t>
  </si>
  <si>
    <t>Max M+</t>
  </si>
  <si>
    <r>
      <t>For no overhangs, ( * w l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</si>
  <si>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5 Span</t>
  </si>
  <si>
    <r>
      <t>For 25% overhangs, ( * w l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</si>
  <si>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For 50% overhangs, ( * w l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</si>
  <si>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Interior Support</t>
  </si>
  <si>
    <t>6 Span</t>
  </si>
  <si>
    <t>DC M+</t>
  </si>
  <si>
    <t>DC M-</t>
  </si>
  <si>
    <t>DW M+</t>
  </si>
  <si>
    <t>DW M-</t>
  </si>
  <si>
    <t>Overlay Dead Load</t>
  </si>
  <si>
    <t>Factored</t>
  </si>
  <si>
    <t>M+</t>
  </si>
  <si>
    <t>Service</t>
  </si>
  <si>
    <t>Input Field</t>
  </si>
  <si>
    <t>Field used to solve for As (Macro Qtrl+z)</t>
  </si>
  <si>
    <t>Top Cover</t>
  </si>
  <si>
    <t>Btm Cover</t>
  </si>
  <si>
    <t>Wearing</t>
  </si>
  <si>
    <t>Transverse Bars</t>
  </si>
  <si>
    <t>Btm</t>
  </si>
  <si>
    <t>Top Transverse Steel Spacing</t>
  </si>
  <si>
    <t>Dist %</t>
  </si>
  <si>
    <t>Str Req</t>
  </si>
  <si>
    <t>(Assummed 12 in Flange)</t>
  </si>
  <si>
    <t>at about</t>
  </si>
  <si>
    <t>Haunch, in</t>
  </si>
  <si>
    <t>9.7.2.4 Design Conditions</t>
  </si>
  <si>
    <t>9.7.2 Empirical Design</t>
  </si>
  <si>
    <t>The ratio of effective length to design depth does not exceed 18.0 and is not less than 6.0</t>
  </si>
  <si>
    <t>Effective Span to Effective Depth</t>
  </si>
  <si>
    <t>Core</t>
  </si>
  <si>
    <t>Span to</t>
  </si>
  <si>
    <t>Secondary Table</t>
  </si>
  <si>
    <t>Core Depth, in</t>
  </si>
  <si>
    <t>Effective Span to Depth Ratio</t>
  </si>
  <si>
    <t>Target,  &lt; 18</t>
  </si>
  <si>
    <t>Target,  &gt;= 4</t>
  </si>
  <si>
    <t>AASHTO 9.7.3 Traditional Design</t>
  </si>
  <si>
    <t>AASHTO 4.6.2 Approximate Methods of Analysis</t>
  </si>
  <si>
    <t>Using Table A4-1 Maximum Live Load Moments</t>
  </si>
  <si>
    <r>
      <t>yd</t>
    </r>
    <r>
      <rPr>
        <b/>
        <vertAlign val="superscript"/>
        <sz val="10"/>
        <rFont val="Arial"/>
        <family val="2"/>
      </rPr>
      <t>3</t>
    </r>
  </si>
  <si>
    <r>
      <t>yd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/ Line</t>
    </r>
  </si>
  <si>
    <r>
      <t>yd</t>
    </r>
    <r>
      <rPr>
        <vertAlign val="superscript"/>
        <sz val="10"/>
        <rFont val="Arial"/>
        <family val="2"/>
      </rPr>
      <t>3</t>
    </r>
  </si>
  <si>
    <r>
      <t>M = w l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/ 10</t>
    </r>
  </si>
  <si>
    <t>For both positive and Negative Moments</t>
  </si>
  <si>
    <t>Using this;</t>
  </si>
  <si>
    <t>w = t * 0.150 / 12</t>
  </si>
  <si>
    <r>
      <t>M = t * 0.150 * l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/ 120</t>
    </r>
  </si>
  <si>
    <t>t in inches, l in ft, M in ft-K</t>
  </si>
  <si>
    <t>Deck Self Weight</t>
  </si>
  <si>
    <t>And applies a 20 psf future wearing surface.</t>
  </si>
  <si>
    <t>Future Wearing Surface</t>
  </si>
  <si>
    <t>w = 20</t>
  </si>
  <si>
    <r>
      <t>M = 0.020 * l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/ 10 = 0.002 * l</t>
    </r>
    <r>
      <rPr>
        <vertAlign val="superscript"/>
        <sz val="10"/>
        <rFont val="Arial"/>
        <family val="2"/>
      </rPr>
      <t>2</t>
    </r>
  </si>
  <si>
    <t>AASHTO Table A4-1 Maximum Live Load Moments Per Unit Width, kip-ft./ft.</t>
  </si>
  <si>
    <t>Also, the design Negative moment probably can be taken some distance from CL beam.</t>
  </si>
  <si>
    <t>This overestimates Positive moments.  However, LL is much larger so this is OK.</t>
  </si>
  <si>
    <t>Could reduce Positive moments as a future refinement.</t>
  </si>
  <si>
    <t xml:space="preserve">We have traditionally used 10 psf future wearing surface.  </t>
  </si>
  <si>
    <t>I believe that assumed that when we overlay the deck, we had lost some wearing surface so the net gain was about 10 psf.</t>
  </si>
  <si>
    <t>We have been applying more Asphalt overlays.  Using the 20 psf is probably appropriate.</t>
  </si>
  <si>
    <t>In a typical calculation;</t>
  </si>
  <si>
    <t xml:space="preserve">t = </t>
  </si>
  <si>
    <t xml:space="preserve">l = </t>
  </si>
  <si>
    <t>ft</t>
  </si>
  <si>
    <t xml:space="preserve">M = </t>
  </si>
  <si>
    <t>ft-k</t>
  </si>
  <si>
    <t>load Factor</t>
  </si>
  <si>
    <t xml:space="preserve">Mdl = </t>
  </si>
  <si>
    <t xml:space="preserve"> .43        Cost Factors:  Forming</t>
  </si>
  <si>
    <t xml:space="preserve"> .16                       Finishing</t>
  </si>
  <si>
    <t xml:space="preserve"> .16                       Placing</t>
  </si>
  <si>
    <t xml:space="preserve"> .25                       Material</t>
  </si>
  <si>
    <t xml:space="preserve"> .63        ReBar Cost ($/Lb)</t>
  </si>
  <si>
    <t xml:space="preserve"> 315        Concrete Cost ($/CuYd)</t>
  </si>
  <si>
    <t>The Forming, Finishing, Placing, and Material factors predate 1990.</t>
  </si>
  <si>
    <t>The rebar cost and concrete cost are from about 1993</t>
  </si>
  <si>
    <t>Using this for positive and negative deadload moments;</t>
  </si>
  <si>
    <t>Top Steel Limits</t>
  </si>
  <si>
    <t>Cover Over Bottom Reinforcing</t>
  </si>
  <si>
    <t>Cover Over Top Reinforcing</t>
  </si>
  <si>
    <t>Assumed Integral Wearing Depth</t>
  </si>
  <si>
    <r>
      <t>f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 xml:space="preserve">' = </t>
    </r>
  </si>
  <si>
    <t>Indicates Top Transverse Steel Controlled by Rail or Barrier Loading</t>
  </si>
  <si>
    <r>
      <t>f</t>
    </r>
    <r>
      <rPr>
        <vertAlign val="subscript"/>
        <sz val="10"/>
        <rFont val="Arial"/>
        <family val="2"/>
      </rPr>
      <t>y</t>
    </r>
    <r>
      <rPr>
        <sz val="10"/>
        <rFont val="Arial"/>
        <family val="2"/>
      </rPr>
      <t xml:space="preserve"> = </t>
    </r>
  </si>
  <si>
    <r>
      <t>Dead Load assumed as     M = w l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/ 10    for M+ and M- in the bays.</t>
    </r>
  </si>
  <si>
    <t>A railing system width of 21.0 in. was used to determine the clear overhang width.</t>
  </si>
  <si>
    <t>Distribution Steel Requirement, Percent of Btm Transverse</t>
  </si>
  <si>
    <t>Distribution Steel Spacing, in</t>
  </si>
  <si>
    <t>Third Table</t>
  </si>
  <si>
    <t>Span</t>
  </si>
  <si>
    <t>Correction</t>
  </si>
  <si>
    <t>Concrete Barrier Systems</t>
  </si>
  <si>
    <t>Rail Systems</t>
  </si>
  <si>
    <t>Overhang *</t>
  </si>
  <si>
    <t>* Overhang is the distance from the Centerline of the Exterior Beam to the Face of the Rail or Barrier.</t>
  </si>
  <si>
    <t>=VLOOKUP(D10,S73:V75,4,FALSE)</t>
  </si>
  <si>
    <t>Top Transverse Steel Spacing *</t>
  </si>
  <si>
    <t>*  Check Top Transverse Steel Spacing for Crash Loading on the Overhang.  Use the controlling Spacing</t>
  </si>
  <si>
    <t>Beams</t>
  </si>
  <si>
    <r>
      <t>yd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/ Line</t>
    </r>
  </si>
  <si>
    <t>Preliminary Quantity Estimate</t>
  </si>
  <si>
    <t>Bridge Deck</t>
  </si>
  <si>
    <r>
      <t>f</t>
    </r>
    <r>
      <rPr>
        <vertAlign val="subscript"/>
        <sz val="10"/>
        <rFont val="Arial"/>
        <family val="2"/>
      </rPr>
      <t>y</t>
    </r>
    <r>
      <rPr>
        <sz val="10"/>
        <rFont val="Arial"/>
        <family val="2"/>
      </rPr>
      <t xml:space="preserve"> = </t>
    </r>
  </si>
  <si>
    <r>
      <t>f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 xml:space="preserve">' = </t>
    </r>
  </si>
  <si>
    <t>Haunch Depth</t>
  </si>
  <si>
    <r>
      <t xml:space="preserve">Ft  </t>
    </r>
    <r>
      <rPr>
        <sz val="8"/>
        <rFont val="Arial"/>
        <family val="2"/>
      </rPr>
      <t>Centerline Ext Beam to Face of Rail</t>
    </r>
  </si>
  <si>
    <t>LRFD Deck Overhang Design</t>
  </si>
  <si>
    <t>Top Transverse Reinforcement for Barrier or Rail Impact Loads</t>
  </si>
  <si>
    <r>
      <t>f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>' = 4 ksi</t>
    </r>
  </si>
  <si>
    <r>
      <t>f</t>
    </r>
    <r>
      <rPr>
        <vertAlign val="subscript"/>
        <sz val="10"/>
        <rFont val="Arial"/>
        <family val="2"/>
      </rPr>
      <t>y</t>
    </r>
    <r>
      <rPr>
        <sz val="10"/>
        <rFont val="Arial"/>
        <family val="2"/>
      </rPr>
      <t xml:space="preserve"> = 60 ksi</t>
    </r>
  </si>
  <si>
    <r>
      <t>f</t>
    </r>
    <r>
      <rPr>
        <vertAlign val="subscript"/>
        <sz val="10"/>
        <rFont val="Arial"/>
        <family val="2"/>
      </rPr>
      <t>y</t>
    </r>
    <r>
      <rPr>
        <sz val="10"/>
        <rFont val="Arial"/>
        <family val="2"/>
      </rPr>
      <t xml:space="preserve"> = </t>
    </r>
  </si>
  <si>
    <r>
      <t>f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 xml:space="preserve">' = </t>
    </r>
  </si>
  <si>
    <t>Number of Bays</t>
  </si>
  <si>
    <t>lineal ft</t>
  </si>
  <si>
    <t>Lineal Ft</t>
  </si>
  <si>
    <t xml:space="preserve"> Longitudinal Steel, Per Bay</t>
  </si>
  <si>
    <t>Unit Cost</t>
  </si>
  <si>
    <t>Extension</t>
  </si>
  <si>
    <t>Bridge Length, ft</t>
  </si>
  <si>
    <t>O'Hang Correction</t>
  </si>
  <si>
    <t>Top Transverse Lookups</t>
  </si>
  <si>
    <t>Pointers to Overhang Design table</t>
  </si>
  <si>
    <t>Type</t>
  </si>
  <si>
    <t>Adjustment</t>
  </si>
  <si>
    <t>Base</t>
  </si>
  <si>
    <t>Column</t>
  </si>
  <si>
    <t>Adjusted</t>
  </si>
  <si>
    <t>This</t>
  </si>
  <si>
    <t>Barrier or Rail Impact Loads</t>
  </si>
  <si>
    <t>Concrete Barrier (Dwg. No. SBR-BRR)</t>
  </si>
  <si>
    <t>W830 Rail System (Dwg. No. SL-7 and SBR-W830)</t>
  </si>
  <si>
    <t>Flexural Calculations for Barrier Impact Load</t>
  </si>
  <si>
    <t>Flexural Calculations for Rail Impact Load</t>
  </si>
  <si>
    <t>in. top flange width</t>
  </si>
  <si>
    <t>Ast</t>
  </si>
  <si>
    <t>Leffective</t>
  </si>
  <si>
    <t>Mdc</t>
  </si>
  <si>
    <t>Mdw</t>
  </si>
  <si>
    <t>Mll</t>
  </si>
  <si>
    <t>Mu</t>
  </si>
  <si>
    <t>Mn</t>
  </si>
  <si>
    <t>check</t>
  </si>
  <si>
    <t>spacing</t>
  </si>
  <si>
    <t>Mc1</t>
  </si>
  <si>
    <t>barrier width (in)</t>
  </si>
  <si>
    <t>edge of deck thickness (in)</t>
  </si>
  <si>
    <t>barrier weight (lbf/ft)</t>
  </si>
  <si>
    <t>overlay weight (lbf/ft2)</t>
  </si>
  <si>
    <t>concrete unit weight (lb/ft3)</t>
  </si>
  <si>
    <t>Barrier Resistance Mc (kip*in/ft)</t>
  </si>
  <si>
    <t>Impact Tensile Force T (kip/ft)</t>
  </si>
  <si>
    <t>reinforcing steel yield strength (ksi)</t>
  </si>
  <si>
    <t>concrete compressive strength (ksi)</t>
  </si>
  <si>
    <t>avg depth to flexural reinforcement (in)</t>
  </si>
  <si>
    <t>Resistance Factor for Extreme Event Load</t>
  </si>
  <si>
    <t>Minimum reinforcing req'd for barrier impact (in^2/ft)</t>
  </si>
  <si>
    <t>W830 rail width(in)</t>
  </si>
  <si>
    <t>W830 rail weight (lb/ft)</t>
  </si>
  <si>
    <t>Rail Post Resistance (kip*in)</t>
  </si>
  <si>
    <t>Rail Impact Tensile force (kip/ft)</t>
  </si>
  <si>
    <t>From Stephanie's Work</t>
  </si>
  <si>
    <t>Spacings rounded down to nearest 1/4 inch.</t>
  </si>
  <si>
    <t>Spacing Columns have been recalculated to round down to the 1/4 inch.  KMB</t>
  </si>
  <si>
    <t>Page copied from Stephanie's work.  Altered as noted.</t>
  </si>
  <si>
    <t>Face to Edge</t>
  </si>
  <si>
    <t>Max Overhang / Spacing =</t>
  </si>
  <si>
    <t>Total Overhang =</t>
  </si>
  <si>
    <t>Adjusted for Impact Control =</t>
  </si>
  <si>
    <t>Beam Spacing =</t>
  </si>
  <si>
    <t>Max Overhang =</t>
  </si>
  <si>
    <t>Max Overhang Adjusted for Impact Control =</t>
  </si>
  <si>
    <t>Excess</t>
  </si>
  <si>
    <t>Allowable</t>
  </si>
  <si>
    <t>Ext to FOR</t>
  </si>
  <si>
    <t>Standard Centerline Ext Beam to Face of Rail</t>
  </si>
  <si>
    <t>(Normal Traffic Controlled *)</t>
  </si>
  <si>
    <t>(Rail Impact Controlled *)</t>
  </si>
  <si>
    <t>Maximum Overhang for Normal Traffic Loading</t>
  </si>
  <si>
    <t>Adjusted Maximum Overhang if Rail Impact controlled the Top Transverse Steel</t>
  </si>
  <si>
    <t>Check the overhang for compliance with the assumptions in the Normal Traffic Loading chart.</t>
  </si>
  <si>
    <t>Normal Traffic Loading Based on Beam Spacing *</t>
  </si>
  <si>
    <r>
      <t>Dead Load assumed as     M = w l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/ 10    for M+ and M- in the bays.</t>
    </r>
  </si>
  <si>
    <t>Deck Thickness</t>
  </si>
  <si>
    <t>Deck Loads, k-ft/ft</t>
  </si>
  <si>
    <t>Positive Bending</t>
  </si>
  <si>
    <t>Deck DL</t>
  </si>
  <si>
    <t>Overlay DL</t>
  </si>
  <si>
    <t>Live Load</t>
  </si>
  <si>
    <t>Source</t>
  </si>
  <si>
    <t>Beam Spacing</t>
  </si>
  <si>
    <t>k-ft/ft</t>
  </si>
  <si>
    <t>Negative Bending</t>
  </si>
  <si>
    <t>Strength</t>
  </si>
  <si>
    <t>Pointers to Overhang Table for Custom Design</t>
  </si>
  <si>
    <t>Rail Impact</t>
  </si>
  <si>
    <r>
      <t>f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>'</t>
    </r>
  </si>
  <si>
    <r>
      <t>f</t>
    </r>
    <r>
      <rPr>
        <vertAlign val="subscript"/>
        <sz val="10"/>
        <rFont val="Arial"/>
        <family val="2"/>
      </rPr>
      <t>y</t>
    </r>
  </si>
  <si>
    <t>M- Distance</t>
  </si>
  <si>
    <t>M Neg</t>
  </si>
  <si>
    <t>Distribution Steel is</t>
  </si>
  <si>
    <t>Distribution Steel Bar Size</t>
  </si>
  <si>
    <t>of Transverse Steel</t>
  </si>
  <si>
    <t>Transverse Steel Design</t>
  </si>
  <si>
    <t>Factor</t>
  </si>
  <si>
    <t>Standard Design Values are Based on:</t>
  </si>
  <si>
    <t>Longitudinal Distribution Steel    LRFD 9.7.3.2 &amp; 9.7.2.3</t>
  </si>
  <si>
    <t>Maximum Spacing, in</t>
  </si>
  <si>
    <t>Negative Bending Case  (Top Steel Design)</t>
  </si>
  <si>
    <t>Positive Bending Case  (Bottom Steel Design)</t>
  </si>
  <si>
    <t xml:space="preserve">fss ≤ </t>
  </si>
  <si>
    <t>Input Spacing =</t>
  </si>
  <si>
    <t>Integral Wearing Surface</t>
  </si>
  <si>
    <r>
      <t>Steel Service Load Stress, f</t>
    </r>
    <r>
      <rPr>
        <vertAlign val="subscript"/>
        <sz val="8"/>
        <rFont val="Arial"/>
        <family val="2"/>
      </rPr>
      <t>ss</t>
    </r>
    <r>
      <rPr>
        <sz val="8"/>
        <rFont val="Arial"/>
        <family val="2"/>
      </rPr>
      <t>, ksi</t>
    </r>
  </si>
  <si>
    <t>Class 2</t>
  </si>
  <si>
    <t>Class 1</t>
  </si>
  <si>
    <t>5.7.3.4 Crack Control by Distribution</t>
  </si>
  <si>
    <r>
      <t>5.7.3.4 Exposure Factor, γ</t>
    </r>
    <r>
      <rPr>
        <vertAlign val="subscript"/>
        <sz val="10"/>
        <rFont val="Arial"/>
        <family val="2"/>
      </rPr>
      <t>e</t>
    </r>
    <r>
      <rPr>
        <sz val="10"/>
        <rFont val="Arial"/>
        <family val="2"/>
      </rPr>
      <t xml:space="preserve"> </t>
    </r>
  </si>
  <si>
    <t>This sheet is used by the Macro to compute entries in the "English LRFD Working Area" table.</t>
  </si>
  <si>
    <r>
      <t>Future Wearing Surface    M = 0.020 l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/ 10 = 0.002 l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 ft-k/ft       LF = 1.5</t>
    </r>
  </si>
  <si>
    <r>
      <t>Deck Dead Load      M = 0.150 t l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/ 120    ft-k/ft      LF = 1.25</t>
    </r>
  </si>
  <si>
    <r>
      <t>Deck Dead Load      M = 0.150 t l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/ 120    ft-k/ft      LF = 1.25</t>
    </r>
  </si>
  <si>
    <r>
      <t>Future Wearing Surface    M = 0.020 l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/ 10 = 0.002 l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 ft-k/ft       LF = 1.5</t>
    </r>
  </si>
  <si>
    <t>Beam Top Flange Width</t>
  </si>
  <si>
    <t>Beam Web Width</t>
  </si>
  <si>
    <t>Maximum total overhang width equal to the smaller of 0.625 times the beam spacing and 6.0 ft.</t>
  </si>
  <si>
    <t>Minimum total overhang width of 21.0 in. measured from the center of the exterior beam.</t>
  </si>
  <si>
    <t>Minimum three beams. Not less than 14.0 ft. between centerlines of exterior beams.</t>
  </si>
  <si>
    <t>Beam Spacing between 4 and 15 ft.</t>
  </si>
  <si>
    <t>Using Table A4-1 Maximum Live Load Moments and the following constraints;</t>
  </si>
  <si>
    <t>Top Bar Size</t>
  </si>
  <si>
    <t>Bottom Bar Size</t>
  </si>
  <si>
    <t>Design Rebar and Spacing</t>
  </si>
  <si>
    <t>Version 1 Released</t>
  </si>
  <si>
    <r>
      <t>Concrete E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 xml:space="preserve"> updated to 2015 Interums 5.4.2.4</t>
    </r>
  </si>
  <si>
    <r>
      <t>Concrete E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 xml:space="preserve"> updated to 2015 Interums 5.4.2.4</t>
    </r>
  </si>
  <si>
    <r>
      <t>w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 xml:space="preserve"> =</t>
    </r>
  </si>
  <si>
    <r>
      <t>K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=</t>
    </r>
  </si>
  <si>
    <r>
      <t>E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 xml:space="preserve"> =</t>
    </r>
  </si>
  <si>
    <t>kcf</t>
  </si>
  <si>
    <t>Aggregate Factor</t>
  </si>
  <si>
    <t>Column Values Assigned by Macro, ChartBuilder</t>
  </si>
  <si>
    <t>MDT_LRFD_Bridge_Deck_Design</t>
  </si>
  <si>
    <t>Where the Deck spans primarily in the transverse</t>
  </si>
  <si>
    <t>Minnesota uses the following for Dead Load moments in Decks.</t>
  </si>
  <si>
    <t>This is a common approximation of + and - DL moments in Decks.  Divisor of 10 to 12</t>
  </si>
  <si>
    <t>This appears reasonable for Negative moments on Decks with some overhang.</t>
  </si>
  <si>
    <t>For Decks supported on steel or concrete girders:</t>
  </si>
  <si>
    <t>The old Deck Design program used an effective span in the calculation.  Using that equation with the total beam spacing;</t>
  </si>
  <si>
    <t>The old program used the following default factors to adjust cost computations for differing Deck thicknesses.</t>
  </si>
  <si>
    <t xml:space="preserve"> 7.75       Base Deck Thickness</t>
  </si>
  <si>
    <t>Old Deck design Program</t>
  </si>
  <si>
    <t>thickness of Deck at edge of flange (in)</t>
  </si>
  <si>
    <t>8" Minimum Edge of Deck Thickness</t>
  </si>
  <si>
    <t>Core depth of the Deck is not less than 4.0 in.</t>
  </si>
  <si>
    <t>Deck t</t>
  </si>
  <si>
    <t>Deck Dead Load</t>
  </si>
  <si>
    <t>• The moments are calculated using the equivalent strip method as applied to concrete Decks supported on</t>
  </si>
  <si>
    <t>• The moments represent the upper bound for the moments in the interior regions of the Deck and, for any</t>
  </si>
  <si>
    <t>Minimum Deck Thickness  T=(S+3048)/30 mm  but not less than 165 mm</t>
  </si>
  <si>
    <t>Min Difference, Haunch - Deck</t>
  </si>
  <si>
    <t>Edge of Beam to Edge of Deck</t>
  </si>
  <si>
    <t>Deck</t>
  </si>
  <si>
    <t>Deck over BM</t>
  </si>
  <si>
    <t>LRFD Deck Design Chart</t>
  </si>
  <si>
    <t>Deck Steel Design</t>
  </si>
  <si>
    <t>LRFD Deck Dgn</t>
  </si>
  <si>
    <t>Deck t, in</t>
  </si>
  <si>
    <t>t = Deck thickness, in     l = beam spacing, ft</t>
  </si>
  <si>
    <t>LRFD Deck Design</t>
  </si>
  <si>
    <t>Deck Geometry and Information</t>
  </si>
  <si>
    <r>
      <t>Find Cracked Centroid,  n = E</t>
    </r>
    <r>
      <rPr>
        <b/>
        <vertAlign val="subscript"/>
        <sz val="10"/>
        <rFont val="Arial"/>
        <family val="2"/>
      </rPr>
      <t>s</t>
    </r>
    <r>
      <rPr>
        <b/>
        <sz val="10"/>
        <rFont val="Arial"/>
        <family val="2"/>
      </rPr>
      <t xml:space="preserve"> / E</t>
    </r>
    <r>
      <rPr>
        <b/>
        <vertAlign val="subscript"/>
        <sz val="10"/>
        <rFont val="Arial"/>
        <family val="2"/>
      </rPr>
      <t>c</t>
    </r>
  </si>
  <si>
    <r>
      <t>Find Cracked Centroid,  2n = 2*E</t>
    </r>
    <r>
      <rPr>
        <b/>
        <vertAlign val="subscript"/>
        <sz val="10"/>
        <rFont val="Arial"/>
        <family val="2"/>
      </rPr>
      <t>s</t>
    </r>
    <r>
      <rPr>
        <b/>
        <sz val="10"/>
        <rFont val="Arial"/>
        <family val="2"/>
      </rPr>
      <t xml:space="preserve"> / E</t>
    </r>
    <r>
      <rPr>
        <b/>
        <vertAlign val="subscript"/>
        <sz val="10"/>
        <rFont val="Arial"/>
        <family val="2"/>
      </rPr>
      <t>c</t>
    </r>
  </si>
  <si>
    <t xml:space="preserve">2n = </t>
  </si>
  <si>
    <t>Service Dead Moment,</t>
  </si>
  <si>
    <t>Service Live Moment,</t>
  </si>
  <si>
    <r>
      <t>Dgn M</t>
    </r>
    <r>
      <rPr>
        <vertAlign val="subscript"/>
        <sz val="10"/>
        <rFont val="Arial"/>
        <family val="2"/>
      </rPr>
      <t>u</t>
    </r>
  </si>
  <si>
    <r>
      <t>Service M</t>
    </r>
    <r>
      <rPr>
        <vertAlign val="subscript"/>
        <sz val="9"/>
        <rFont val="Arial"/>
        <family val="2"/>
      </rPr>
      <t>D</t>
    </r>
  </si>
  <si>
    <r>
      <t>Service M</t>
    </r>
    <r>
      <rPr>
        <vertAlign val="subscript"/>
        <sz val="9"/>
        <rFont val="Arial"/>
        <family val="2"/>
      </rPr>
      <t>L</t>
    </r>
  </si>
  <si>
    <t>Concrete In Diaphragms</t>
  </si>
  <si>
    <t>(Anchor)</t>
  </si>
  <si>
    <t>Minimum reinforcing req'd for rail impact (in^2/ft)</t>
  </si>
  <si>
    <t>Updated 6/1/2015 by KMB to use 2 1/2 inch cover.  Reduced "avg depth to flexural reinforcement" from 6" to 5.875".  Recomputed by Macro.  Solving for the area of steel (yellow columns).</t>
  </si>
  <si>
    <t>Centerline Exterior Beam to Face of Rail</t>
  </si>
  <si>
    <t>Bottom Cover</t>
  </si>
  <si>
    <t>Distance, CL Beam to Design Section</t>
  </si>
  <si>
    <t>For Negative Moment Design, Standard Design Moment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</si>
</sst>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164" formatCode="0.0%"/>
    <numFmt numFmtId="165" formatCode="0.00000"/>
    <numFmt numFmtId="166" formatCode="0.0000"/>
    <numFmt numFmtId="167" formatCode="0.000"/>
    <numFmt numFmtId="168" formatCode="0.0"/>
    <numFmt numFmtId="169" formatCode="mm/dd/yy;@"/>
    <numFmt numFmtId="170" formatCode="_(&quot;$&quot;* #,##0_);_(&quot;$&quot;* \(#,##0\);_(&quot;$&quot;* &quot;-&quot;??_);_(@_)"/>
  </numFmts>
  <fonts count="4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b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sz val="10"/>
      <color indexed="3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b/>
      <sz val="14"/>
      <name val="Arial"/>
      <family val="2"/>
    </font>
    <font>
      <vertAlign val="subscript"/>
      <sz val="8"/>
      <name val="Arial"/>
      <family val="2"/>
    </font>
    <font>
      <b/>
      <sz val="16"/>
      <name val="Arial"/>
      <family val="2"/>
    </font>
    <font>
      <sz val="9"/>
      <color theme="0"/>
      <name val="Arial"/>
      <family val="2"/>
    </font>
    <font>
      <b/>
      <sz val="10"/>
      <color rgb="FF000080"/>
      <name val="Arial"/>
      <family val="2"/>
    </font>
    <font>
      <vertAlign val="subscript"/>
      <sz val="9"/>
      <name val="Arial"/>
      <family val="2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</fills>
  <borders count="1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" fillId="23" borderId="7" applyNumberFormat="0" applyFont="0" applyAlignment="0" applyProtection="0"/>
    <xf numFmtId="0" fontId="18" fillId="20" borderId="8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44" fontId="34" fillId="0" borderId="0" applyFont="0" applyFill="0" applyBorder="0" applyAlignment="0" applyProtection="0"/>
  </cellStyleXfs>
  <cellXfs count="732">
    <xf numFmtId="0" fontId="0" fillId="0" borderId="0" xfId="0"/>
    <xf numFmtId="0" fontId="0" fillId="0" borderId="0" xfId="0" applyAlignment="1">
      <alignment vertical="center" textRotation="90"/>
    </xf>
    <xf numFmtId="0" fontId="0" fillId="0" borderId="0" xfId="0" applyAlignment="1">
      <alignment horizontal="right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NumberForma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3" xfId="0" applyBorder="1"/>
    <xf numFmtId="0" fontId="0" fillId="0" borderId="24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4" xfId="0" applyBorder="1"/>
    <xf numFmtId="0" fontId="0" fillId="0" borderId="0" xfId="0" applyBorder="1"/>
    <xf numFmtId="0" fontId="0" fillId="0" borderId="29" xfId="0" applyBorder="1"/>
    <xf numFmtId="0" fontId="0" fillId="0" borderId="30" xfId="0" applyBorder="1"/>
    <xf numFmtId="0" fontId="0" fillId="0" borderId="10" xfId="0" applyBorder="1" applyAlignment="1">
      <alignment horizontal="left"/>
    </xf>
    <xf numFmtId="9" fontId="0" fillId="0" borderId="0" xfId="0" applyNumberFormat="1" applyBorder="1"/>
    <xf numFmtId="0" fontId="0" fillId="0" borderId="0" xfId="0" applyBorder="1" applyAlignment="1">
      <alignment horizontal="right"/>
    </xf>
    <xf numFmtId="1" fontId="0" fillId="0" borderId="16" xfId="0" applyNumberFormat="1" applyBorder="1"/>
    <xf numFmtId="1" fontId="0" fillId="0" borderId="17" xfId="0" applyNumberFormat="1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0" borderId="11" xfId="0" applyBorder="1" applyAlignment="1">
      <alignment horizontal="right"/>
    </xf>
    <xf numFmtId="0" fontId="0" fillId="24" borderId="11" xfId="0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0" fontId="0" fillId="0" borderId="14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6" xfId="0" applyBorder="1" applyAlignment="1">
      <alignment horizontal="right"/>
    </xf>
    <xf numFmtId="0" fontId="0" fillId="0" borderId="0" xfId="0" applyFill="1" applyBorder="1"/>
    <xf numFmtId="167" fontId="0" fillId="0" borderId="10" xfId="0" applyNumberFormat="1" applyBorder="1"/>
    <xf numFmtId="167" fontId="0" fillId="0" borderId="11" xfId="0" applyNumberFormat="1" applyBorder="1"/>
    <xf numFmtId="167" fontId="0" fillId="0" borderId="12" xfId="0" applyNumberFormat="1" applyBorder="1"/>
    <xf numFmtId="167" fontId="0" fillId="0" borderId="14" xfId="0" applyNumberFormat="1" applyBorder="1"/>
    <xf numFmtId="167" fontId="0" fillId="0" borderId="0" xfId="0" applyNumberFormat="1" applyBorder="1"/>
    <xf numFmtId="167" fontId="0" fillId="0" borderId="13" xfId="0" applyNumberFormat="1" applyBorder="1"/>
    <xf numFmtId="167" fontId="0" fillId="0" borderId="15" xfId="0" applyNumberFormat="1" applyBorder="1"/>
    <xf numFmtId="167" fontId="0" fillId="0" borderId="16" xfId="0" applyNumberFormat="1" applyBorder="1"/>
    <xf numFmtId="167" fontId="0" fillId="0" borderId="17" xfId="0" applyNumberFormat="1" applyBorder="1"/>
    <xf numFmtId="166" fontId="0" fillId="0" borderId="0" xfId="0" applyNumberFormat="1" applyBorder="1"/>
    <xf numFmtId="166" fontId="0" fillId="0" borderId="0" xfId="0" applyNumberFormat="1" applyFill="1" applyBorder="1"/>
    <xf numFmtId="166" fontId="0" fillId="0" borderId="19" xfId="0" applyNumberFormat="1" applyBorder="1"/>
    <xf numFmtId="166" fontId="0" fillId="0" borderId="20" xfId="0" applyNumberFormat="1" applyBorder="1"/>
    <xf numFmtId="0" fontId="3" fillId="0" borderId="10" xfId="0" applyFont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1" fontId="0" fillId="0" borderId="0" xfId="0" applyNumberFormat="1" applyBorder="1"/>
    <xf numFmtId="0" fontId="0" fillId="0" borderId="32" xfId="0" applyBorder="1"/>
    <xf numFmtId="0" fontId="0" fillId="0" borderId="13" xfId="0" applyFill="1" applyBorder="1" applyAlignment="1">
      <alignment wrapText="1"/>
    </xf>
    <xf numFmtId="166" fontId="0" fillId="0" borderId="14" xfId="0" applyNumberFormat="1" applyBorder="1"/>
    <xf numFmtId="0" fontId="0" fillId="0" borderId="13" xfId="0" applyBorder="1" applyAlignment="1">
      <alignment horizontal="center"/>
    </xf>
    <xf numFmtId="0" fontId="0" fillId="0" borderId="14" xfId="0" applyFill="1" applyBorder="1" applyAlignment="1"/>
    <xf numFmtId="0" fontId="0" fillId="0" borderId="0" xfId="0" applyFill="1" applyBorder="1" applyAlignment="1"/>
    <xf numFmtId="166" fontId="0" fillId="0" borderId="15" xfId="0" applyNumberFormat="1" applyBorder="1"/>
    <xf numFmtId="0" fontId="0" fillId="24" borderId="16" xfId="0" applyFill="1" applyBorder="1"/>
    <xf numFmtId="0" fontId="0" fillId="0" borderId="10" xfId="0" applyFill="1" applyBorder="1"/>
    <xf numFmtId="0" fontId="0" fillId="24" borderId="11" xfId="0" applyFill="1" applyBorder="1"/>
    <xf numFmtId="1" fontId="0" fillId="0" borderId="13" xfId="0" applyNumberFormat="1" applyBorder="1"/>
    <xf numFmtId="2" fontId="0" fillId="0" borderId="16" xfId="0" applyNumberFormat="1" applyBorder="1"/>
    <xf numFmtId="168" fontId="0" fillId="0" borderId="17" xfId="0" applyNumberFormat="1" applyBorder="1"/>
    <xf numFmtId="0" fontId="3" fillId="0" borderId="10" xfId="0" applyFont="1" applyBorder="1" applyAlignment="1">
      <alignment horizontal="right"/>
    </xf>
    <xf numFmtId="168" fontId="3" fillId="0" borderId="11" xfId="0" applyNumberFormat="1" applyFont="1" applyBorder="1"/>
    <xf numFmtId="0" fontId="3" fillId="0" borderId="12" xfId="0" applyFont="1" applyBorder="1"/>
    <xf numFmtId="0" fontId="3" fillId="0" borderId="15" xfId="0" applyFont="1" applyBorder="1" applyAlignment="1">
      <alignment horizontal="right"/>
    </xf>
    <xf numFmtId="1" fontId="3" fillId="0" borderId="16" xfId="0" applyNumberFormat="1" applyFont="1" applyBorder="1"/>
    <xf numFmtId="0" fontId="3" fillId="0" borderId="17" xfId="0" applyFont="1" applyBorder="1"/>
    <xf numFmtId="0" fontId="0" fillId="24" borderId="13" xfId="0" applyFill="1" applyBorder="1" applyAlignment="1">
      <alignment horizontal="center"/>
    </xf>
    <xf numFmtId="2" fontId="0" fillId="0" borderId="0" xfId="0" applyNumberFormat="1" applyBorder="1"/>
    <xf numFmtId="168" fontId="0" fillId="0" borderId="13" xfId="0" applyNumberFormat="1" applyBorder="1"/>
    <xf numFmtId="0" fontId="3" fillId="0" borderId="29" xfId="0" applyFont="1" applyBorder="1"/>
    <xf numFmtId="0" fontId="0" fillId="0" borderId="13" xfId="0" applyBorder="1" applyAlignment="1">
      <alignment horizontal="left"/>
    </xf>
    <xf numFmtId="0" fontId="0" fillId="0" borderId="0" xfId="0" applyNumberFormat="1" applyBorder="1"/>
    <xf numFmtId="0" fontId="0" fillId="0" borderId="0" xfId="0" applyNumberFormat="1" applyFill="1" applyBorder="1"/>
    <xf numFmtId="166" fontId="0" fillId="0" borderId="12" xfId="0" applyNumberFormat="1" applyBorder="1" applyAlignment="1">
      <alignment horizontal="center"/>
    </xf>
    <xf numFmtId="0" fontId="0" fillId="0" borderId="33" xfId="0" applyBorder="1"/>
    <xf numFmtId="0" fontId="0" fillId="0" borderId="0" xfId="0" applyProtection="1">
      <protection hidden="1"/>
    </xf>
    <xf numFmtId="0" fontId="22" fillId="0" borderId="0" xfId="0" applyFont="1" applyProtection="1">
      <protection hidden="1"/>
    </xf>
    <xf numFmtId="0" fontId="3" fillId="0" borderId="34" xfId="0" applyFont="1" applyBorder="1" applyProtection="1">
      <protection hidden="1"/>
    </xf>
    <xf numFmtId="0" fontId="22" fillId="0" borderId="35" xfId="0" applyFont="1" applyBorder="1" applyProtection="1">
      <protection hidden="1"/>
    </xf>
    <xf numFmtId="0" fontId="22" fillId="0" borderId="36" xfId="0" applyFont="1" applyBorder="1" applyProtection="1">
      <protection hidden="1"/>
    </xf>
    <xf numFmtId="0" fontId="22" fillId="0" borderId="0" xfId="0" applyFont="1" applyBorder="1" applyProtection="1">
      <protection hidden="1"/>
    </xf>
    <xf numFmtId="0" fontId="0" fillId="0" borderId="35" xfId="0" applyBorder="1" applyProtection="1">
      <protection hidden="1"/>
    </xf>
    <xf numFmtId="0" fontId="0" fillId="0" borderId="36" xfId="0" applyBorder="1" applyProtection="1">
      <protection hidden="1"/>
    </xf>
    <xf numFmtId="0" fontId="0" fillId="0" borderId="18" xfId="0" applyBorder="1" applyProtection="1">
      <protection hidden="1"/>
    </xf>
    <xf numFmtId="0" fontId="22" fillId="0" borderId="37" xfId="0" applyFont="1" applyBorder="1" applyProtection="1">
      <protection hidden="1"/>
    </xf>
    <xf numFmtId="0" fontId="22" fillId="0" borderId="38" xfId="0" applyFont="1" applyBorder="1" applyAlignment="1" applyProtection="1">
      <alignment horizontal="right"/>
      <protection hidden="1"/>
    </xf>
    <xf numFmtId="0" fontId="22" fillId="25" borderId="38" xfId="0" applyFont="1" applyFill="1" applyBorder="1" applyProtection="1">
      <protection locked="0" hidden="1"/>
    </xf>
    <xf numFmtId="0" fontId="22" fillId="0" borderId="39" xfId="0" applyFont="1" applyBorder="1" applyProtection="1">
      <protection hidden="1"/>
    </xf>
    <xf numFmtId="0" fontId="0" fillId="0" borderId="37" xfId="0" applyBorder="1" applyProtection="1">
      <protection hidden="1"/>
    </xf>
    <xf numFmtId="0" fontId="22" fillId="0" borderId="38" xfId="0" applyFont="1" applyBorder="1" applyProtection="1">
      <protection hidden="1"/>
    </xf>
    <xf numFmtId="0" fontId="0" fillId="0" borderId="38" xfId="0" applyBorder="1" applyProtection="1">
      <protection hidden="1"/>
    </xf>
    <xf numFmtId="0" fontId="0" fillId="0" borderId="39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19" xfId="0" applyBorder="1" applyAlignment="1" applyProtection="1">
      <alignment horizontal="center"/>
      <protection hidden="1"/>
    </xf>
    <xf numFmtId="0" fontId="0" fillId="0" borderId="38" xfId="0" applyBorder="1" applyAlignment="1" applyProtection="1">
      <alignment horizontal="right"/>
      <protection hidden="1"/>
    </xf>
    <xf numFmtId="0" fontId="22" fillId="0" borderId="38" xfId="0" applyFont="1" applyBorder="1" applyAlignment="1" applyProtection="1">
      <alignment horizontal="center"/>
      <protection hidden="1"/>
    </xf>
    <xf numFmtId="0" fontId="0" fillId="0" borderId="41" xfId="0" applyBorder="1" applyProtection="1">
      <protection hidden="1"/>
    </xf>
    <xf numFmtId="0" fontId="0" fillId="0" borderId="40" xfId="0" applyBorder="1" applyProtection="1">
      <protection hidden="1"/>
    </xf>
    <xf numFmtId="0" fontId="22" fillId="0" borderId="40" xfId="0" applyFont="1" applyBorder="1" applyAlignment="1" applyProtection="1">
      <alignment horizontal="right"/>
      <protection hidden="1"/>
    </xf>
    <xf numFmtId="0" fontId="22" fillId="0" borderId="42" xfId="0" applyFont="1" applyBorder="1" applyProtection="1">
      <protection hidden="1"/>
    </xf>
    <xf numFmtId="0" fontId="3" fillId="0" borderId="34" xfId="0" applyFont="1" applyBorder="1"/>
    <xf numFmtId="0" fontId="0" fillId="0" borderId="35" xfId="0" applyBorder="1"/>
    <xf numFmtId="0" fontId="0" fillId="0" borderId="36" xfId="0" applyBorder="1"/>
    <xf numFmtId="0" fontId="22" fillId="25" borderId="38" xfId="0" applyFont="1" applyFill="1" applyBorder="1" applyAlignment="1" applyProtection="1">
      <alignment horizontal="center"/>
      <protection locked="0" hidden="1"/>
    </xf>
    <xf numFmtId="0" fontId="0" fillId="0" borderId="37" xfId="0" applyBorder="1"/>
    <xf numFmtId="0" fontId="0" fillId="0" borderId="38" xfId="0" applyBorder="1"/>
    <xf numFmtId="0" fontId="0" fillId="0" borderId="38" xfId="0" applyBorder="1" applyAlignment="1">
      <alignment horizontal="right"/>
    </xf>
    <xf numFmtId="0" fontId="0" fillId="0" borderId="39" xfId="0" applyBorder="1"/>
    <xf numFmtId="0" fontId="22" fillId="0" borderId="41" xfId="0" applyFont="1" applyBorder="1" applyProtection="1">
      <protection hidden="1"/>
    </xf>
    <xf numFmtId="0" fontId="22" fillId="25" borderId="40" xfId="0" applyFont="1" applyFill="1" applyBorder="1" applyAlignment="1" applyProtection="1">
      <alignment horizontal="center"/>
      <protection locked="0" hidden="1"/>
    </xf>
    <xf numFmtId="0" fontId="22" fillId="0" borderId="40" xfId="0" applyFont="1" applyFill="1" applyBorder="1" applyAlignment="1" applyProtection="1">
      <alignment horizontal="right"/>
      <protection hidden="1"/>
    </xf>
    <xf numFmtId="0" fontId="0" fillId="0" borderId="42" xfId="0" applyBorder="1" applyProtection="1">
      <protection hidden="1"/>
    </xf>
    <xf numFmtId="0" fontId="22" fillId="0" borderId="38" xfId="0" applyFont="1" applyBorder="1" applyAlignment="1">
      <alignment horizontal="right"/>
    </xf>
    <xf numFmtId="0" fontId="22" fillId="0" borderId="39" xfId="0" applyFont="1" applyBorder="1"/>
    <xf numFmtId="0" fontId="0" fillId="0" borderId="20" xfId="0" applyBorder="1" applyAlignment="1" applyProtection="1">
      <alignment horizontal="center"/>
      <protection hidden="1"/>
    </xf>
    <xf numFmtId="0" fontId="22" fillId="0" borderId="0" xfId="0" applyFont="1"/>
    <xf numFmtId="0" fontId="0" fillId="0" borderId="14" xfId="0" applyBorder="1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25" borderId="0" xfId="0" applyFill="1" applyBorder="1" applyProtection="1">
      <protection locked="0"/>
    </xf>
    <xf numFmtId="0" fontId="0" fillId="0" borderId="0" xfId="0" applyBorder="1" applyProtection="1">
      <protection hidden="1"/>
    </xf>
    <xf numFmtId="0" fontId="0" fillId="0" borderId="13" xfId="0" applyBorder="1" applyProtection="1">
      <protection hidden="1"/>
    </xf>
    <xf numFmtId="0" fontId="22" fillId="0" borderId="38" xfId="0" applyFont="1" applyFill="1" applyBorder="1" applyAlignment="1" applyProtection="1">
      <alignment horizontal="right"/>
      <protection hidden="1"/>
    </xf>
    <xf numFmtId="167" fontId="0" fillId="0" borderId="38" xfId="0" applyNumberFormat="1" applyBorder="1"/>
    <xf numFmtId="167" fontId="22" fillId="0" borderId="38" xfId="0" applyNumberFormat="1" applyFont="1" applyBorder="1" applyProtection="1">
      <protection hidden="1"/>
    </xf>
    <xf numFmtId="0" fontId="3" fillId="0" borderId="38" xfId="0" applyFont="1" applyBorder="1" applyAlignment="1" applyProtection="1">
      <alignment horizontal="left"/>
      <protection hidden="1"/>
    </xf>
    <xf numFmtId="0" fontId="0" fillId="0" borderId="41" xfId="0" applyBorder="1"/>
    <xf numFmtId="0" fontId="0" fillId="0" borderId="40" xfId="0" applyBorder="1"/>
    <xf numFmtId="0" fontId="22" fillId="0" borderId="42" xfId="0" applyFont="1" applyBorder="1"/>
    <xf numFmtId="0" fontId="25" fillId="0" borderId="38" xfId="0" applyFont="1" applyBorder="1" applyProtection="1">
      <protection hidden="1"/>
    </xf>
    <xf numFmtId="167" fontId="22" fillId="0" borderId="40" xfId="0" applyNumberFormat="1" applyFont="1" applyBorder="1" applyProtection="1">
      <protection hidden="1"/>
    </xf>
    <xf numFmtId="0" fontId="22" fillId="0" borderId="40" xfId="0" applyFont="1" applyBorder="1" applyProtection="1">
      <protection hidden="1"/>
    </xf>
    <xf numFmtId="0" fontId="26" fillId="0" borderId="40" xfId="0" applyFont="1" applyBorder="1" applyProtection="1">
      <protection hidden="1"/>
    </xf>
    <xf numFmtId="167" fontId="0" fillId="0" borderId="0" xfId="0" applyNumberFormat="1"/>
    <xf numFmtId="0" fontId="3" fillId="0" borderId="10" xfId="0" applyFont="1" applyBorder="1" applyProtection="1">
      <protection hidden="1"/>
    </xf>
    <xf numFmtId="0" fontId="22" fillId="0" borderId="11" xfId="0" applyFont="1" applyBorder="1" applyProtection="1">
      <protection hidden="1"/>
    </xf>
    <xf numFmtId="0" fontId="22" fillId="0" borderId="12" xfId="0" applyFont="1" applyBorder="1" applyProtection="1">
      <protection hidden="1"/>
    </xf>
    <xf numFmtId="0" fontId="22" fillId="0" borderId="0" xfId="0" applyFont="1" applyBorder="1" applyAlignment="1" applyProtection="1">
      <alignment horizontal="center"/>
      <protection hidden="1"/>
    </xf>
    <xf numFmtId="0" fontId="27" fillId="0" borderId="0" xfId="0" applyFont="1" applyBorder="1" applyProtection="1">
      <protection hidden="1"/>
    </xf>
    <xf numFmtId="0" fontId="22" fillId="0" borderId="0" xfId="0" applyFont="1" applyBorder="1" applyAlignment="1" applyProtection="1">
      <alignment horizontal="right"/>
      <protection hidden="1"/>
    </xf>
    <xf numFmtId="0" fontId="22" fillId="0" borderId="13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0" fillId="0" borderId="43" xfId="0" applyBorder="1" applyProtection="1">
      <protection hidden="1"/>
    </xf>
    <xf numFmtId="0" fontId="22" fillId="0" borderId="44" xfId="0" applyFont="1" applyBorder="1" applyAlignment="1" applyProtection="1">
      <alignment horizontal="right"/>
      <protection hidden="1"/>
    </xf>
    <xf numFmtId="0" fontId="22" fillId="25" borderId="44" xfId="0" applyFont="1" applyFill="1" applyBorder="1" applyAlignment="1" applyProtection="1">
      <alignment horizontal="center"/>
      <protection locked="0" hidden="1"/>
    </xf>
    <xf numFmtId="168" fontId="22" fillId="0" borderId="44" xfId="0" applyNumberFormat="1" applyFont="1" applyBorder="1" applyAlignment="1" applyProtection="1">
      <alignment horizontal="center"/>
      <protection hidden="1"/>
    </xf>
    <xf numFmtId="0" fontId="22" fillId="0" borderId="44" xfId="0" applyFont="1" applyBorder="1" applyAlignment="1" applyProtection="1">
      <alignment horizontal="center"/>
      <protection hidden="1"/>
    </xf>
    <xf numFmtId="0" fontId="22" fillId="0" borderId="44" xfId="0" applyFont="1" applyBorder="1" applyProtection="1">
      <protection hidden="1"/>
    </xf>
    <xf numFmtId="0" fontId="22" fillId="0" borderId="45" xfId="0" applyFont="1" applyBorder="1" applyProtection="1">
      <protection hidden="1"/>
    </xf>
    <xf numFmtId="168" fontId="22" fillId="0" borderId="38" xfId="0" applyNumberFormat="1" applyFont="1" applyBorder="1" applyAlignment="1" applyProtection="1">
      <alignment horizontal="center"/>
      <protection hidden="1"/>
    </xf>
    <xf numFmtId="0" fontId="22" fillId="0" borderId="38" xfId="0" applyFont="1" applyFill="1" applyBorder="1" applyProtection="1">
      <protection hidden="1"/>
    </xf>
    <xf numFmtId="0" fontId="0" fillId="0" borderId="46" xfId="0" applyBorder="1" applyProtection="1">
      <protection hidden="1"/>
    </xf>
    <xf numFmtId="0" fontId="22" fillId="0" borderId="47" xfId="0" applyFont="1" applyBorder="1" applyAlignment="1" applyProtection="1">
      <alignment horizontal="right"/>
      <protection hidden="1"/>
    </xf>
    <xf numFmtId="0" fontId="22" fillId="25" borderId="47" xfId="0" applyFont="1" applyFill="1" applyBorder="1" applyProtection="1">
      <protection locked="0" hidden="1"/>
    </xf>
    <xf numFmtId="0" fontId="22" fillId="0" borderId="47" xfId="0" applyFont="1" applyBorder="1" applyProtection="1">
      <protection hidden="1"/>
    </xf>
    <xf numFmtId="0" fontId="22" fillId="0" borderId="48" xfId="0" applyFont="1" applyBorder="1" applyProtection="1">
      <protection hidden="1"/>
    </xf>
    <xf numFmtId="0" fontId="22" fillId="0" borderId="44" xfId="0" applyFont="1" applyFill="1" applyBorder="1" applyAlignment="1" applyProtection="1">
      <alignment horizontal="right"/>
      <protection hidden="1"/>
    </xf>
    <xf numFmtId="167" fontId="0" fillId="0" borderId="44" xfId="0" applyNumberFormat="1" applyBorder="1" applyProtection="1">
      <protection hidden="1"/>
    </xf>
    <xf numFmtId="0" fontId="0" fillId="0" borderId="44" xfId="0" applyBorder="1" applyProtection="1">
      <protection hidden="1"/>
    </xf>
    <xf numFmtId="0" fontId="0" fillId="0" borderId="44" xfId="0" applyBorder="1" applyAlignment="1" applyProtection="1">
      <alignment horizontal="right"/>
      <protection hidden="1"/>
    </xf>
    <xf numFmtId="0" fontId="0" fillId="0" borderId="45" xfId="0" applyBorder="1" applyProtection="1">
      <protection hidden="1"/>
    </xf>
    <xf numFmtId="0" fontId="3" fillId="0" borderId="40" xfId="0" applyFont="1" applyBorder="1" applyAlignment="1" applyProtection="1">
      <alignment horizontal="right"/>
      <protection hidden="1"/>
    </xf>
    <xf numFmtId="164" fontId="3" fillId="0" borderId="40" xfId="39" applyNumberFormat="1" applyFont="1" applyBorder="1" applyAlignment="1" applyProtection="1">
      <alignment horizontal="left"/>
      <protection hidden="1"/>
    </xf>
    <xf numFmtId="0" fontId="3" fillId="0" borderId="38" xfId="0" applyFont="1" applyBorder="1" applyProtection="1">
      <protection hidden="1"/>
    </xf>
    <xf numFmtId="1" fontId="22" fillId="0" borderId="38" xfId="0" applyNumberFormat="1" applyFont="1" applyBorder="1" applyProtection="1">
      <protection hidden="1"/>
    </xf>
    <xf numFmtId="166" fontId="22" fillId="0" borderId="39" xfId="0" applyNumberFormat="1" applyFont="1" applyBorder="1" applyProtection="1">
      <protection hidden="1"/>
    </xf>
    <xf numFmtId="2" fontId="22" fillId="0" borderId="38" xfId="0" applyNumberFormat="1" applyFont="1" applyBorder="1" applyAlignment="1" applyProtection="1">
      <alignment horizontal="center"/>
      <protection hidden="1"/>
    </xf>
    <xf numFmtId="0" fontId="26" fillId="0" borderId="38" xfId="0" applyFont="1" applyBorder="1" applyAlignment="1" applyProtection="1">
      <alignment horizontal="center"/>
      <protection hidden="1"/>
    </xf>
    <xf numFmtId="0" fontId="3" fillId="0" borderId="39" xfId="0" applyFont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168" fontId="3" fillId="0" borderId="40" xfId="0" applyNumberFormat="1" applyFont="1" applyBorder="1" applyAlignment="1" applyProtection="1">
      <alignment horizontal="center"/>
      <protection hidden="1"/>
    </xf>
    <xf numFmtId="0" fontId="3" fillId="0" borderId="40" xfId="0" applyFont="1" applyBorder="1" applyProtection="1">
      <protection hidden="1"/>
    </xf>
    <xf numFmtId="9" fontId="22" fillId="0" borderId="42" xfId="39" applyFont="1" applyBorder="1" applyAlignment="1" applyProtection="1">
      <alignment horizontal="center"/>
      <protection hidden="1"/>
    </xf>
    <xf numFmtId="0" fontId="22" fillId="0" borderId="34" xfId="0" applyFont="1" applyBorder="1" applyProtection="1">
      <protection hidden="1"/>
    </xf>
    <xf numFmtId="0" fontId="3" fillId="0" borderId="35" xfId="0" applyFont="1" applyBorder="1" applyProtection="1">
      <protection hidden="1"/>
    </xf>
    <xf numFmtId="165" fontId="22" fillId="0" borderId="38" xfId="0" applyNumberFormat="1" applyFont="1" applyBorder="1" applyProtection="1">
      <protection hidden="1"/>
    </xf>
    <xf numFmtId="0" fontId="3" fillId="0" borderId="35" xfId="0" applyFont="1" applyBorder="1" applyAlignment="1" applyProtection="1">
      <alignment horizontal="right"/>
      <protection hidden="1"/>
    </xf>
    <xf numFmtId="0" fontId="22" fillId="0" borderId="49" xfId="0" applyFont="1" applyBorder="1" applyProtection="1">
      <protection hidden="1"/>
    </xf>
    <xf numFmtId="0" fontId="22" fillId="0" borderId="50" xfId="0" applyFont="1" applyBorder="1" applyProtection="1">
      <protection hidden="1"/>
    </xf>
    <xf numFmtId="0" fontId="3" fillId="0" borderId="50" xfId="0" applyFont="1" applyBorder="1" applyAlignment="1" applyProtection="1">
      <alignment horizontal="right"/>
      <protection hidden="1"/>
    </xf>
    <xf numFmtId="0" fontId="22" fillId="0" borderId="51" xfId="0" applyFont="1" applyBorder="1" applyProtection="1">
      <protection hidden="1"/>
    </xf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21" xfId="0" applyFill="1" applyBorder="1" applyAlignment="1">
      <alignment horizontal="left"/>
    </xf>
    <xf numFmtId="0" fontId="0" fillId="0" borderId="21" xfId="0" applyFill="1" applyBorder="1" applyAlignment="1">
      <alignment horizontal="center"/>
    </xf>
    <xf numFmtId="0" fontId="0" fillId="0" borderId="56" xfId="0" applyBorder="1"/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25" xfId="0" applyFill="1" applyBorder="1"/>
    <xf numFmtId="0" fontId="0" fillId="0" borderId="56" xfId="0" applyBorder="1" applyAlignment="1">
      <alignment horizontal="center"/>
    </xf>
    <xf numFmtId="0" fontId="0" fillId="0" borderId="23" xfId="0" applyFill="1" applyBorder="1"/>
    <xf numFmtId="0" fontId="22" fillId="0" borderId="16" xfId="0" applyFont="1" applyBorder="1" applyProtection="1">
      <protection hidden="1"/>
    </xf>
    <xf numFmtId="167" fontId="0" fillId="0" borderId="30" xfId="0" applyNumberFormat="1" applyBorder="1"/>
    <xf numFmtId="2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58" xfId="0" applyFont="1" applyBorder="1" applyAlignment="1">
      <alignment horizontal="center"/>
    </xf>
    <xf numFmtId="2" fontId="0" fillId="0" borderId="59" xfId="0" applyNumberFormat="1" applyBorder="1"/>
    <xf numFmtId="0" fontId="0" fillId="0" borderId="59" xfId="0" applyBorder="1"/>
    <xf numFmtId="2" fontId="28" fillId="0" borderId="59" xfId="0" applyNumberFormat="1" applyFont="1" applyBorder="1"/>
    <xf numFmtId="12" fontId="0" fillId="0" borderId="59" xfId="0" applyNumberFormat="1" applyBorder="1" applyAlignment="1">
      <alignment horizontal="center"/>
    </xf>
    <xf numFmtId="0" fontId="3" fillId="0" borderId="33" xfId="0" applyFont="1" applyBorder="1"/>
    <xf numFmtId="0" fontId="3" fillId="0" borderId="60" xfId="0" applyFont="1" applyBorder="1"/>
    <xf numFmtId="1" fontId="0" fillId="0" borderId="59" xfId="0" applyNumberFormat="1" applyBorder="1" applyAlignment="1">
      <alignment horizontal="center"/>
    </xf>
    <xf numFmtId="12" fontId="0" fillId="0" borderId="62" xfId="0" applyNumberFormat="1" applyBorder="1" applyAlignment="1">
      <alignment horizontal="center"/>
    </xf>
    <xf numFmtId="1" fontId="0" fillId="0" borderId="62" xfId="0" applyNumberForma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12" fontId="0" fillId="0" borderId="66" xfId="0" applyNumberFormat="1" applyBorder="1" applyAlignment="1">
      <alignment horizontal="center"/>
    </xf>
    <xf numFmtId="12" fontId="0" fillId="0" borderId="67" xfId="0" applyNumberFormat="1" applyBorder="1" applyAlignment="1">
      <alignment horizontal="center"/>
    </xf>
    <xf numFmtId="12" fontId="0" fillId="0" borderId="68" xfId="0" applyNumberFormat="1" applyBorder="1" applyAlignment="1">
      <alignment horizontal="center"/>
    </xf>
    <xf numFmtId="12" fontId="0" fillId="0" borderId="69" xfId="0" applyNumberFormat="1" applyBorder="1" applyAlignment="1">
      <alignment horizontal="center"/>
    </xf>
    <xf numFmtId="12" fontId="0" fillId="0" borderId="70" xfId="0" applyNumberFormat="1" applyBorder="1" applyAlignment="1">
      <alignment horizontal="center"/>
    </xf>
    <xf numFmtId="12" fontId="0" fillId="0" borderId="71" xfId="0" applyNumberFormat="1" applyBorder="1" applyAlignment="1">
      <alignment horizontal="center"/>
    </xf>
    <xf numFmtId="12" fontId="0" fillId="0" borderId="72" xfId="0" applyNumberForma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74" xfId="0" applyFont="1" applyBorder="1" applyAlignment="1">
      <alignment horizontal="center"/>
    </xf>
    <xf numFmtId="0" fontId="3" fillId="0" borderId="75" xfId="0" applyFont="1" applyBorder="1" applyAlignment="1">
      <alignment horizontal="center"/>
    </xf>
    <xf numFmtId="12" fontId="0" fillId="0" borderId="76" xfId="0" applyNumberFormat="1" applyBorder="1" applyAlignment="1">
      <alignment horizontal="center"/>
    </xf>
    <xf numFmtId="0" fontId="3" fillId="0" borderId="77" xfId="0" applyFont="1" applyBorder="1" applyAlignment="1">
      <alignment horizontal="center"/>
    </xf>
    <xf numFmtId="0" fontId="3" fillId="0" borderId="78" xfId="0" applyFont="1" applyBorder="1" applyAlignment="1">
      <alignment horizontal="center"/>
    </xf>
    <xf numFmtId="0" fontId="3" fillId="0" borderId="11" xfId="0" applyFont="1" applyBorder="1"/>
    <xf numFmtId="1" fontId="0" fillId="0" borderId="66" xfId="0" applyNumberFormat="1" applyBorder="1" applyAlignment="1">
      <alignment horizontal="center"/>
    </xf>
    <xf numFmtId="1" fontId="0" fillId="0" borderId="67" xfId="0" applyNumberFormat="1" applyBorder="1" applyAlignment="1">
      <alignment horizontal="center"/>
    </xf>
    <xf numFmtId="1" fontId="0" fillId="0" borderId="68" xfId="0" applyNumberFormat="1" applyBorder="1" applyAlignment="1">
      <alignment horizontal="center"/>
    </xf>
    <xf numFmtId="1" fontId="0" fillId="0" borderId="69" xfId="0" applyNumberFormat="1" applyBorder="1" applyAlignment="1">
      <alignment horizontal="center"/>
    </xf>
    <xf numFmtId="1" fontId="0" fillId="0" borderId="70" xfId="0" applyNumberFormat="1" applyBorder="1" applyAlignment="1">
      <alignment horizontal="center"/>
    </xf>
    <xf numFmtId="1" fontId="0" fillId="0" borderId="71" xfId="0" applyNumberFormat="1" applyBorder="1" applyAlignment="1">
      <alignment horizontal="center"/>
    </xf>
    <xf numFmtId="1" fontId="0" fillId="0" borderId="72" xfId="0" applyNumberForma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0" fillId="0" borderId="79" xfId="0" applyNumberFormat="1" applyBorder="1"/>
    <xf numFmtId="2" fontId="0" fillId="0" borderId="57" xfId="0" applyNumberFormat="1" applyBorder="1"/>
    <xf numFmtId="2" fontId="0" fillId="0" borderId="56" xfId="0" applyNumberFormat="1" applyBorder="1"/>
    <xf numFmtId="12" fontId="0" fillId="0" borderId="79" xfId="0" applyNumberFormat="1" applyBorder="1" applyAlignment="1">
      <alignment horizontal="center"/>
    </xf>
    <xf numFmtId="12" fontId="0" fillId="0" borderId="57" xfId="0" applyNumberFormat="1" applyBorder="1" applyAlignment="1">
      <alignment horizontal="center"/>
    </xf>
    <xf numFmtId="12" fontId="0" fillId="0" borderId="56" xfId="0" applyNumberFormat="1" applyBorder="1" applyAlignment="1">
      <alignment horizontal="center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0" fillId="0" borderId="60" xfId="0" applyBorder="1"/>
    <xf numFmtId="0" fontId="0" fillId="0" borderId="84" xfId="0" applyBorder="1"/>
    <xf numFmtId="0" fontId="0" fillId="0" borderId="85" xfId="0" applyBorder="1"/>
    <xf numFmtId="0" fontId="0" fillId="0" borderId="86" xfId="0" applyBorder="1"/>
    <xf numFmtId="0" fontId="0" fillId="0" borderId="83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2" fillId="26" borderId="38" xfId="0" applyFont="1" applyFill="1" applyBorder="1" applyProtection="1">
      <protection locked="0" hidden="1"/>
    </xf>
    <xf numFmtId="0" fontId="22" fillId="26" borderId="38" xfId="0" applyFont="1" applyFill="1" applyBorder="1" applyAlignment="1" applyProtection="1">
      <alignment horizontal="center"/>
      <protection locked="0" hidden="1"/>
    </xf>
    <xf numFmtId="0" fontId="3" fillId="0" borderId="60" xfId="0" applyFont="1" applyBorder="1" applyAlignment="1">
      <alignment horizontal="center"/>
    </xf>
    <xf numFmtId="0" fontId="3" fillId="0" borderId="86" xfId="0" applyFont="1" applyBorder="1" applyAlignment="1">
      <alignment horizontal="center"/>
    </xf>
    <xf numFmtId="0" fontId="3" fillId="0" borderId="89" xfId="0" applyFont="1" applyBorder="1"/>
    <xf numFmtId="0" fontId="3" fillId="0" borderId="90" xfId="0" applyFont="1" applyBorder="1"/>
    <xf numFmtId="0" fontId="3" fillId="0" borderId="91" xfId="0" applyFont="1" applyBorder="1"/>
    <xf numFmtId="0" fontId="3" fillId="0" borderId="1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92" xfId="0" applyFont="1" applyBorder="1"/>
    <xf numFmtId="2" fontId="0" fillId="0" borderId="93" xfId="0" applyNumberFormat="1" applyBorder="1"/>
    <xf numFmtId="2" fontId="0" fillId="0" borderId="94" xfId="0" applyNumberFormat="1" applyBorder="1"/>
    <xf numFmtId="2" fontId="0" fillId="0" borderId="95" xfId="0" applyNumberFormat="1" applyBorder="1"/>
    <xf numFmtId="12" fontId="0" fillId="0" borderId="95" xfId="0" applyNumberFormat="1" applyBorder="1" applyAlignment="1">
      <alignment horizontal="center"/>
    </xf>
    <xf numFmtId="12" fontId="0" fillId="0" borderId="96" xfId="0" applyNumberFormat="1" applyBorder="1" applyAlignment="1">
      <alignment horizontal="center"/>
    </xf>
    <xf numFmtId="2" fontId="0" fillId="0" borderId="68" xfId="0" applyNumberFormat="1" applyBorder="1"/>
    <xf numFmtId="2" fontId="0" fillId="0" borderId="70" xfId="0" applyNumberFormat="1" applyBorder="1"/>
    <xf numFmtId="2" fontId="0" fillId="0" borderId="71" xfId="0" applyNumberFormat="1" applyBorder="1"/>
    <xf numFmtId="0" fontId="3" fillId="0" borderId="97" xfId="0" applyFont="1" applyBorder="1" applyAlignment="1">
      <alignment horizontal="center"/>
    </xf>
    <xf numFmtId="2" fontId="0" fillId="0" borderId="98" xfId="0" applyNumberFormat="1" applyBorder="1"/>
    <xf numFmtId="2" fontId="0" fillId="0" borderId="99" xfId="0" applyNumberFormat="1" applyBorder="1"/>
    <xf numFmtId="0" fontId="3" fillId="0" borderId="17" xfId="0" applyFont="1" applyFill="1" applyBorder="1" applyAlignment="1">
      <alignment horizontal="center"/>
    </xf>
    <xf numFmtId="2" fontId="0" fillId="0" borderId="96" xfId="0" applyNumberFormat="1" applyBorder="1"/>
    <xf numFmtId="2" fontId="0" fillId="0" borderId="69" xfId="0" applyNumberFormat="1" applyBorder="1"/>
    <xf numFmtId="2" fontId="0" fillId="0" borderId="72" xfId="0" applyNumberFormat="1" applyBorder="1"/>
    <xf numFmtId="0" fontId="3" fillId="0" borderId="100" xfId="0" applyFont="1" applyBorder="1" applyAlignment="1">
      <alignment horizontal="center"/>
    </xf>
    <xf numFmtId="0" fontId="3" fillId="0" borderId="101" xfId="0" applyFont="1" applyBorder="1" applyAlignment="1">
      <alignment horizontal="center"/>
    </xf>
    <xf numFmtId="12" fontId="0" fillId="0" borderId="94" xfId="0" applyNumberFormat="1" applyBorder="1" applyAlignment="1">
      <alignment horizontal="center"/>
    </xf>
    <xf numFmtId="0" fontId="3" fillId="0" borderId="14" xfId="0" applyFont="1" applyBorder="1"/>
    <xf numFmtId="0" fontId="3" fillId="0" borderId="102" xfId="0" applyFont="1" applyBorder="1" applyAlignment="1">
      <alignment horizontal="center"/>
    </xf>
    <xf numFmtId="0" fontId="3" fillId="0" borderId="103" xfId="0" applyFont="1" applyBorder="1" applyAlignment="1">
      <alignment horizontal="center"/>
    </xf>
    <xf numFmtId="0" fontId="26" fillId="0" borderId="103" xfId="0" applyFont="1" applyBorder="1" applyAlignment="1">
      <alignment horizontal="center"/>
    </xf>
    <xf numFmtId="0" fontId="3" fillId="0" borderId="104" xfId="0" applyFont="1" applyBorder="1" applyAlignment="1">
      <alignment horizontal="center"/>
    </xf>
    <xf numFmtId="0" fontId="0" fillId="0" borderId="94" xfId="0" applyBorder="1"/>
    <xf numFmtId="0" fontId="0" fillId="0" borderId="95" xfId="0" applyBorder="1"/>
    <xf numFmtId="2" fontId="28" fillId="0" borderId="95" xfId="0" applyNumberFormat="1" applyFont="1" applyBorder="1"/>
    <xf numFmtId="0" fontId="0" fillId="0" borderId="96" xfId="0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71" xfId="0" applyBorder="1"/>
    <xf numFmtId="2" fontId="28" fillId="0" borderId="71" xfId="0" applyNumberFormat="1" applyFont="1" applyBorder="1"/>
    <xf numFmtId="0" fontId="0" fillId="0" borderId="72" xfId="0" applyBorder="1"/>
    <xf numFmtId="0" fontId="3" fillId="0" borderId="20" xfId="0" applyFont="1" applyBorder="1" applyAlignment="1">
      <alignment horizontal="center"/>
    </xf>
    <xf numFmtId="2" fontId="0" fillId="0" borderId="55" xfId="0" applyNumberFormat="1" applyBorder="1"/>
    <xf numFmtId="2" fontId="22" fillId="24" borderId="94" xfId="0" applyNumberFormat="1" applyFont="1" applyFill="1" applyBorder="1"/>
    <xf numFmtId="2" fontId="22" fillId="24" borderId="95" xfId="0" applyNumberFormat="1" applyFont="1" applyFill="1" applyBorder="1"/>
    <xf numFmtId="2" fontId="22" fillId="24" borderId="96" xfId="0" applyNumberFormat="1" applyFont="1" applyFill="1" applyBorder="1"/>
    <xf numFmtId="12" fontId="0" fillId="24" borderId="93" xfId="0" applyNumberFormat="1" applyFill="1" applyBorder="1" applyAlignment="1">
      <alignment horizontal="center"/>
    </xf>
    <xf numFmtId="2" fontId="22" fillId="24" borderId="68" xfId="0" applyNumberFormat="1" applyFont="1" applyFill="1" applyBorder="1"/>
    <xf numFmtId="2" fontId="22" fillId="24" borderId="59" xfId="0" applyNumberFormat="1" applyFont="1" applyFill="1" applyBorder="1"/>
    <xf numFmtId="2" fontId="22" fillId="24" borderId="69" xfId="0" applyNumberFormat="1" applyFont="1" applyFill="1" applyBorder="1"/>
    <xf numFmtId="2" fontId="22" fillId="24" borderId="70" xfId="0" applyNumberFormat="1" applyFont="1" applyFill="1" applyBorder="1"/>
    <xf numFmtId="2" fontId="22" fillId="24" borderId="71" xfId="0" applyNumberFormat="1" applyFont="1" applyFill="1" applyBorder="1"/>
    <xf numFmtId="2" fontId="22" fillId="24" borderId="72" xfId="0" applyNumberFormat="1" applyFont="1" applyFill="1" applyBorder="1"/>
    <xf numFmtId="0" fontId="0" fillId="24" borderId="0" xfId="0" applyFill="1"/>
    <xf numFmtId="0" fontId="0" fillId="26" borderId="12" xfId="0" applyFill="1" applyBorder="1"/>
    <xf numFmtId="0" fontId="0" fillId="26" borderId="13" xfId="0" applyFill="1" applyBorder="1"/>
    <xf numFmtId="2" fontId="0" fillId="26" borderId="13" xfId="0" applyNumberFormat="1" applyFill="1" applyBorder="1"/>
    <xf numFmtId="2" fontId="0" fillId="26" borderId="12" xfId="0" applyNumberFormat="1" applyFill="1" applyBorder="1"/>
    <xf numFmtId="0" fontId="0" fillId="26" borderId="0" xfId="0" applyFill="1"/>
    <xf numFmtId="0" fontId="0" fillId="0" borderId="55" xfId="0" applyFill="1" applyBorder="1"/>
    <xf numFmtId="0" fontId="0" fillId="0" borderId="57" xfId="0" applyFill="1" applyBorder="1"/>
    <xf numFmtId="0" fontId="0" fillId="0" borderId="56" xfId="0" applyFill="1" applyBorder="1"/>
    <xf numFmtId="0" fontId="29" fillId="0" borderId="11" xfId="0" applyFont="1" applyBorder="1"/>
    <xf numFmtId="0" fontId="3" fillId="0" borderId="16" xfId="0" applyFont="1" applyBorder="1"/>
    <xf numFmtId="0" fontId="0" fillId="26" borderId="32" xfId="0" applyFill="1" applyBorder="1"/>
    <xf numFmtId="0" fontId="0" fillId="26" borderId="30" xfId="0" applyFill="1" applyBorder="1"/>
    <xf numFmtId="12" fontId="0" fillId="24" borderId="105" xfId="0" applyNumberFormat="1" applyFill="1" applyBorder="1" applyAlignment="1">
      <alignment horizontal="center"/>
    </xf>
    <xf numFmtId="12" fontId="0" fillId="24" borderId="106" xfId="0" applyNumberFormat="1" applyFill="1" applyBorder="1" applyAlignment="1">
      <alignment horizontal="center"/>
    </xf>
    <xf numFmtId="0" fontId="0" fillId="0" borderId="85" xfId="0" applyFill="1" applyBorder="1" applyAlignment="1">
      <alignment horizontal="center"/>
    </xf>
    <xf numFmtId="0" fontId="0" fillId="24" borderId="38" xfId="0" applyFill="1" applyBorder="1" applyAlignment="1">
      <alignment horizontal="center"/>
    </xf>
    <xf numFmtId="0" fontId="0" fillId="24" borderId="40" xfId="0" applyFill="1" applyBorder="1" applyAlignment="1">
      <alignment horizontal="center"/>
    </xf>
    <xf numFmtId="0" fontId="0" fillId="24" borderId="36" xfId="0" applyFill="1" applyBorder="1" applyAlignment="1">
      <alignment horizontal="center"/>
    </xf>
    <xf numFmtId="0" fontId="0" fillId="24" borderId="39" xfId="0" applyFill="1" applyBorder="1" applyAlignment="1">
      <alignment horizontal="center"/>
    </xf>
    <xf numFmtId="0" fontId="0" fillId="24" borderId="42" xfId="0" applyFill="1" applyBorder="1" applyAlignment="1">
      <alignment horizontal="center"/>
    </xf>
    <xf numFmtId="0" fontId="3" fillId="27" borderId="20" xfId="0" applyFont="1" applyFill="1" applyBorder="1" applyAlignment="1">
      <alignment horizontal="center"/>
    </xf>
    <xf numFmtId="12" fontId="0" fillId="24" borderId="55" xfId="0" applyNumberFormat="1" applyFill="1" applyBorder="1" applyAlignment="1">
      <alignment horizontal="center"/>
    </xf>
    <xf numFmtId="12" fontId="0" fillId="24" borderId="57" xfId="0" applyNumberFormat="1" applyFill="1" applyBorder="1" applyAlignment="1">
      <alignment horizontal="center"/>
    </xf>
    <xf numFmtId="12" fontId="0" fillId="24" borderId="56" xfId="0" applyNumberFormat="1" applyFill="1" applyBorder="1" applyAlignment="1">
      <alignment horizontal="center"/>
    </xf>
    <xf numFmtId="0" fontId="0" fillId="0" borderId="107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70" xfId="0" applyBorder="1" applyAlignment="1">
      <alignment horizontal="center"/>
    </xf>
    <xf numFmtId="13" fontId="0" fillId="0" borderId="62" xfId="0" applyNumberFormat="1" applyBorder="1" applyAlignment="1">
      <alignment horizontal="center"/>
    </xf>
    <xf numFmtId="13" fontId="0" fillId="0" borderId="59" xfId="0" applyNumberFormat="1" applyBorder="1" applyAlignment="1">
      <alignment horizontal="center"/>
    </xf>
    <xf numFmtId="13" fontId="0" fillId="0" borderId="61" xfId="0" applyNumberFormat="1" applyBorder="1" applyAlignment="1">
      <alignment horizontal="center"/>
    </xf>
    <xf numFmtId="0" fontId="3" fillId="28" borderId="108" xfId="0" applyFont="1" applyFill="1" applyBorder="1" applyAlignment="1">
      <alignment horizontal="center"/>
    </xf>
    <xf numFmtId="0" fontId="3" fillId="28" borderId="17" xfId="0" applyFont="1" applyFill="1" applyBorder="1" applyAlignment="1">
      <alignment horizontal="center"/>
    </xf>
    <xf numFmtId="0" fontId="3" fillId="28" borderId="16" xfId="0" applyFont="1" applyFill="1" applyBorder="1" applyAlignment="1">
      <alignment horizontal="center"/>
    </xf>
    <xf numFmtId="0" fontId="3" fillId="28" borderId="109" xfId="0" applyFont="1" applyFill="1" applyBorder="1" applyAlignment="1">
      <alignment horizontal="center"/>
    </xf>
    <xf numFmtId="0" fontId="3" fillId="28" borderId="101" xfId="0" applyFont="1" applyFill="1" applyBorder="1" applyAlignment="1">
      <alignment horizontal="center"/>
    </xf>
    <xf numFmtId="0" fontId="0" fillId="28" borderId="0" xfId="0" applyFill="1"/>
    <xf numFmtId="0" fontId="3" fillId="0" borderId="10" xfId="0" applyFont="1" applyBorder="1" applyAlignment="1">
      <alignment horizontal="center"/>
    </xf>
    <xf numFmtId="0" fontId="3" fillId="0" borderId="110" xfId="0" applyFont="1" applyBorder="1" applyAlignment="1">
      <alignment horizontal="center"/>
    </xf>
    <xf numFmtId="0" fontId="3" fillId="0" borderId="111" xfId="0" applyFont="1" applyBorder="1"/>
    <xf numFmtId="13" fontId="3" fillId="0" borderId="17" xfId="0" applyNumberFormat="1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6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13" fontId="3" fillId="0" borderId="13" xfId="0" applyNumberFormat="1" applyFont="1" applyBorder="1" applyAlignment="1">
      <alignment horizontal="center"/>
    </xf>
    <xf numFmtId="13" fontId="3" fillId="0" borderId="12" xfId="0" applyNumberFormat="1" applyFont="1" applyBorder="1" applyAlignment="1">
      <alignment horizontal="center"/>
    </xf>
    <xf numFmtId="13" fontId="0" fillId="0" borderId="0" xfId="0" applyNumberFormat="1" applyBorder="1"/>
    <xf numFmtId="0" fontId="3" fillId="0" borderId="83" xfId="0" applyFont="1" applyBorder="1"/>
    <xf numFmtId="168" fontId="0" fillId="0" borderId="112" xfId="0" applyNumberFormat="1" applyBorder="1"/>
    <xf numFmtId="168" fontId="0" fillId="0" borderId="59" xfId="0" applyNumberFormat="1" applyBorder="1"/>
    <xf numFmtId="168" fontId="0" fillId="0" borderId="61" xfId="0" applyNumberFormat="1" applyBorder="1"/>
    <xf numFmtId="0" fontId="0" fillId="0" borderId="58" xfId="0" applyBorder="1" applyAlignment="1">
      <alignment horizontal="center"/>
    </xf>
    <xf numFmtId="0" fontId="0" fillId="0" borderId="58" xfId="0" applyBorder="1"/>
    <xf numFmtId="0" fontId="0" fillId="0" borderId="63" xfId="0" applyBorder="1"/>
    <xf numFmtId="0" fontId="0" fillId="28" borderId="63" xfId="0" applyFill="1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112" xfId="0" applyBorder="1"/>
    <xf numFmtId="0" fontId="0" fillId="0" borderId="112" xfId="0" applyNumberFormat="1" applyBorder="1"/>
    <xf numFmtId="13" fontId="0" fillId="0" borderId="112" xfId="0" applyNumberFormat="1" applyBorder="1" applyAlignment="1">
      <alignment horizontal="center"/>
    </xf>
    <xf numFmtId="0" fontId="0" fillId="0" borderId="59" xfId="0" applyNumberFormat="1" applyBorder="1"/>
    <xf numFmtId="0" fontId="0" fillId="0" borderId="61" xfId="0" applyBorder="1"/>
    <xf numFmtId="0" fontId="0" fillId="0" borderId="61" xfId="0" applyNumberFormat="1" applyBorder="1"/>
    <xf numFmtId="168" fontId="0" fillId="0" borderId="107" xfId="0" applyNumberFormat="1" applyBorder="1"/>
    <xf numFmtId="168" fontId="0" fillId="0" borderId="76" xfId="0" applyNumberFormat="1" applyBorder="1"/>
    <xf numFmtId="168" fontId="0" fillId="0" borderId="68" xfId="0" applyNumberFormat="1" applyBorder="1"/>
    <xf numFmtId="168" fontId="0" fillId="0" borderId="69" xfId="0" applyNumberFormat="1" applyBorder="1"/>
    <xf numFmtId="168" fontId="0" fillId="0" borderId="70" xfId="0" applyNumberFormat="1" applyBorder="1"/>
    <xf numFmtId="168" fontId="0" fillId="0" borderId="71" xfId="0" applyNumberFormat="1" applyBorder="1"/>
    <xf numFmtId="168" fontId="0" fillId="0" borderId="72" xfId="0" applyNumberFormat="1" applyBorder="1"/>
    <xf numFmtId="13" fontId="0" fillId="0" borderId="79" xfId="0" applyNumberFormat="1" applyBorder="1" applyAlignment="1">
      <alignment horizontal="center"/>
    </xf>
    <xf numFmtId="13" fontId="0" fillId="0" borderId="57" xfId="0" applyNumberFormat="1" applyBorder="1" applyAlignment="1">
      <alignment horizontal="center"/>
    </xf>
    <xf numFmtId="13" fontId="0" fillId="0" borderId="56" xfId="0" applyNumberFormat="1" applyBorder="1" applyAlignment="1">
      <alignment horizontal="center"/>
    </xf>
    <xf numFmtId="0" fontId="3" fillId="0" borderId="18" xfId="0" applyFont="1" applyBorder="1"/>
    <xf numFmtId="0" fontId="3" fillId="0" borderId="113" xfId="0" applyFont="1" applyBorder="1"/>
    <xf numFmtId="0" fontId="0" fillId="0" borderId="84" xfId="0" applyFill="1" applyBorder="1"/>
    <xf numFmtId="168" fontId="0" fillId="0" borderId="0" xfId="0" applyNumberFormat="1" applyAlignment="1">
      <alignment horizontal="center"/>
    </xf>
    <xf numFmtId="13" fontId="0" fillId="0" borderId="0" xfId="0" applyNumberFormat="1" applyAlignment="1">
      <alignment horizontal="center"/>
    </xf>
    <xf numFmtId="0" fontId="3" fillId="0" borderId="0" xfId="0" applyFont="1"/>
    <xf numFmtId="13" fontId="0" fillId="0" borderId="0" xfId="0" applyNumberFormat="1"/>
    <xf numFmtId="0" fontId="3" fillId="0" borderId="18" xfId="0" applyFont="1" applyBorder="1" applyAlignment="1">
      <alignment horizontal="center"/>
    </xf>
    <xf numFmtId="0" fontId="0" fillId="26" borderId="29" xfId="0" applyFill="1" applyBorder="1"/>
    <xf numFmtId="0" fontId="0" fillId="26" borderId="17" xfId="0" applyFill="1" applyBorder="1"/>
    <xf numFmtId="0" fontId="3" fillId="0" borderId="0" xfId="0" applyFont="1" applyBorder="1"/>
    <xf numFmtId="0" fontId="22" fillId="24" borderId="35" xfId="0" applyFont="1" applyFill="1" applyBorder="1" applyAlignment="1">
      <alignment horizontal="center"/>
    </xf>
    <xf numFmtId="0" fontId="22" fillId="24" borderId="38" xfId="0" applyFont="1" applyFill="1" applyBorder="1" applyAlignment="1">
      <alignment horizontal="center"/>
    </xf>
    <xf numFmtId="0" fontId="22" fillId="0" borderId="10" xfId="0" applyFont="1" applyBorder="1"/>
    <xf numFmtId="0" fontId="22" fillId="0" borderId="15" xfId="0" applyFont="1" applyBorder="1" applyAlignment="1">
      <alignment horizontal="center"/>
    </xf>
    <xf numFmtId="0" fontId="22" fillId="0" borderId="17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13" fontId="3" fillId="0" borderId="0" xfId="0" applyNumberFormat="1" applyFont="1" applyBorder="1" applyAlignment="1">
      <alignment horizontal="center"/>
    </xf>
    <xf numFmtId="13" fontId="3" fillId="0" borderId="11" xfId="0" applyNumberFormat="1" applyFont="1" applyBorder="1" applyAlignment="1">
      <alignment horizontal="center"/>
    </xf>
    <xf numFmtId="0" fontId="22" fillId="0" borderId="12" xfId="0" applyFont="1" applyBorder="1"/>
    <xf numFmtId="0" fontId="22" fillId="0" borderId="13" xfId="0" applyFont="1" applyBorder="1"/>
    <xf numFmtId="0" fontId="22" fillId="0" borderId="11" xfId="0" applyFont="1" applyBorder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16" xfId="0" applyFont="1" applyBorder="1" applyAlignment="1">
      <alignment horizontal="right"/>
    </xf>
    <xf numFmtId="12" fontId="0" fillId="29" borderId="59" xfId="0" applyNumberFormat="1" applyFill="1" applyBorder="1" applyAlignment="1">
      <alignment horizontal="center"/>
    </xf>
    <xf numFmtId="13" fontId="3" fillId="0" borderId="16" xfId="0" applyNumberFormat="1" applyFont="1" applyBorder="1" applyAlignment="1">
      <alignment horizontal="center"/>
    </xf>
    <xf numFmtId="0" fontId="22" fillId="0" borderId="17" xfId="0" applyFont="1" applyBorder="1"/>
    <xf numFmtId="0" fontId="22" fillId="0" borderId="16" xfId="0" applyFont="1" applyBorder="1"/>
    <xf numFmtId="0" fontId="22" fillId="0" borderId="15" xfId="0" applyFont="1" applyBorder="1" applyAlignment="1">
      <alignment horizontal="right"/>
    </xf>
    <xf numFmtId="169" fontId="0" fillId="0" borderId="0" xfId="0" applyNumberFormat="1"/>
    <xf numFmtId="0" fontId="31" fillId="0" borderId="0" xfId="0" applyFont="1"/>
    <xf numFmtId="0" fontId="1" fillId="0" borderId="0" xfId="0" applyFont="1"/>
    <xf numFmtId="0" fontId="1" fillId="0" borderId="80" xfId="0" applyFont="1" applyBorder="1"/>
    <xf numFmtId="1" fontId="0" fillId="0" borderId="112" xfId="0" applyNumberFormat="1" applyBorder="1" applyAlignment="1">
      <alignment horizontal="center"/>
    </xf>
    <xf numFmtId="1" fontId="0" fillId="0" borderId="63" xfId="0" applyNumberFormat="1" applyBorder="1" applyAlignment="1">
      <alignment horizontal="center"/>
    </xf>
    <xf numFmtId="13" fontId="0" fillId="0" borderId="112" xfId="0" applyNumberFormat="1" applyBorder="1"/>
    <xf numFmtId="13" fontId="0" fillId="0" borderId="59" xfId="0" applyNumberFormat="1" applyBorder="1"/>
    <xf numFmtId="13" fontId="0" fillId="0" borderId="61" xfId="0" applyNumberFormat="1" applyBorder="1"/>
    <xf numFmtId="164" fontId="0" fillId="0" borderId="112" xfId="39" applyNumberFormat="1" applyFont="1" applyBorder="1"/>
    <xf numFmtId="164" fontId="0" fillId="0" borderId="59" xfId="39" applyNumberFormat="1" applyFont="1" applyBorder="1"/>
    <xf numFmtId="164" fontId="0" fillId="0" borderId="61" xfId="39" applyNumberFormat="1" applyFont="1" applyBorder="1"/>
    <xf numFmtId="0" fontId="0" fillId="0" borderId="58" xfId="0" applyFont="1" applyFill="1" applyBorder="1" applyAlignment="1">
      <alignment horizontal="center"/>
    </xf>
    <xf numFmtId="0" fontId="0" fillId="0" borderId="110" xfId="0" applyBorder="1" applyAlignment="1">
      <alignment horizontal="center"/>
    </xf>
    <xf numFmtId="164" fontId="0" fillId="0" borderId="107" xfId="39" applyNumberFormat="1" applyFont="1" applyBorder="1"/>
    <xf numFmtId="164" fontId="0" fillId="0" borderId="76" xfId="39" applyNumberFormat="1" applyFont="1" applyBorder="1"/>
    <xf numFmtId="164" fontId="0" fillId="0" borderId="68" xfId="39" applyNumberFormat="1" applyFont="1" applyBorder="1"/>
    <xf numFmtId="164" fontId="0" fillId="0" borderId="69" xfId="39" applyNumberFormat="1" applyFont="1" applyBorder="1"/>
    <xf numFmtId="164" fontId="0" fillId="0" borderId="70" xfId="39" applyNumberFormat="1" applyFont="1" applyBorder="1"/>
    <xf numFmtId="164" fontId="0" fillId="0" borderId="71" xfId="39" applyNumberFormat="1" applyFont="1" applyBorder="1"/>
    <xf numFmtId="164" fontId="0" fillId="0" borderId="72" xfId="39" applyNumberFormat="1" applyFont="1" applyBorder="1"/>
    <xf numFmtId="0" fontId="0" fillId="0" borderId="110" xfId="0" applyFont="1" applyFill="1" applyBorder="1"/>
    <xf numFmtId="0" fontId="0" fillId="0" borderId="87" xfId="0" applyBorder="1"/>
    <xf numFmtId="0" fontId="0" fillId="0" borderId="88" xfId="0" applyBorder="1"/>
    <xf numFmtId="0" fontId="0" fillId="0" borderId="85" xfId="0" applyFill="1" applyBorder="1"/>
    <xf numFmtId="0" fontId="1" fillId="0" borderId="110" xfId="0" applyFont="1" applyFill="1" applyBorder="1" applyAlignment="1">
      <alignment horizontal="center"/>
    </xf>
    <xf numFmtId="0" fontId="0" fillId="0" borderId="63" xfId="0" applyFont="1" applyFill="1" applyBorder="1"/>
    <xf numFmtId="0" fontId="3" fillId="0" borderId="90" xfId="0" applyFont="1" applyBorder="1" applyAlignment="1">
      <alignment horizontal="center"/>
    </xf>
    <xf numFmtId="12" fontId="0" fillId="0" borderId="62" xfId="0" applyNumberFormat="1" applyFill="1" applyBorder="1" applyAlignment="1">
      <alignment horizontal="center"/>
    </xf>
    <xf numFmtId="12" fontId="0" fillId="0" borderId="67" xfId="0" applyNumberFormat="1" applyFill="1" applyBorder="1" applyAlignment="1">
      <alignment horizontal="center"/>
    </xf>
    <xf numFmtId="12" fontId="0" fillId="0" borderId="59" xfId="0" applyNumberFormat="1" applyFill="1" applyBorder="1" applyAlignment="1">
      <alignment horizontal="center"/>
    </xf>
    <xf numFmtId="12" fontId="0" fillId="0" borderId="69" xfId="0" applyNumberFormat="1" applyFill="1" applyBorder="1" applyAlignment="1">
      <alignment horizontal="center"/>
    </xf>
    <xf numFmtId="0" fontId="1" fillId="0" borderId="10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12" fontId="0" fillId="0" borderId="61" xfId="0" applyNumberFormat="1" applyFill="1" applyBorder="1" applyAlignment="1">
      <alignment horizontal="center"/>
    </xf>
    <xf numFmtId="12" fontId="0" fillId="0" borderId="114" xfId="0" applyNumberFormat="1" applyFill="1" applyBorder="1" applyAlignment="1">
      <alignment horizontal="center"/>
    </xf>
    <xf numFmtId="0" fontId="0" fillId="0" borderId="94" xfId="0" applyBorder="1" applyAlignment="1">
      <alignment horizontal="center"/>
    </xf>
    <xf numFmtId="12" fontId="0" fillId="0" borderId="95" xfId="0" applyNumberFormat="1" applyFill="1" applyBorder="1" applyAlignment="1">
      <alignment horizontal="center"/>
    </xf>
    <xf numFmtId="12" fontId="0" fillId="0" borderId="96" xfId="0" applyNumberFormat="1" applyFill="1" applyBorder="1" applyAlignment="1">
      <alignment horizontal="center"/>
    </xf>
    <xf numFmtId="0" fontId="1" fillId="0" borderId="70" xfId="0" applyFont="1" applyBorder="1" applyAlignment="1">
      <alignment horizontal="center"/>
    </xf>
    <xf numFmtId="12" fontId="0" fillId="0" borderId="71" xfId="0" applyNumberFormat="1" applyFill="1" applyBorder="1" applyAlignment="1">
      <alignment horizontal="center"/>
    </xf>
    <xf numFmtId="12" fontId="0" fillId="0" borderId="72" xfId="0" applyNumberFormat="1" applyFill="1" applyBorder="1" applyAlignment="1">
      <alignment horizontal="center"/>
    </xf>
    <xf numFmtId="2" fontId="0" fillId="0" borderId="55" xfId="0" applyNumberFormat="1" applyBorder="1" applyAlignment="1">
      <alignment horizontal="center"/>
    </xf>
    <xf numFmtId="2" fontId="0" fillId="0" borderId="57" xfId="0" applyNumberFormat="1" applyBorder="1" applyAlignment="1">
      <alignment horizontal="center"/>
    </xf>
    <xf numFmtId="2" fontId="0" fillId="0" borderId="79" xfId="0" applyNumberForma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0" fontId="1" fillId="0" borderId="0" xfId="0" quotePrefix="1" applyFont="1"/>
    <xf numFmtId="0" fontId="0" fillId="0" borderId="110" xfId="0" applyBorder="1"/>
    <xf numFmtId="0" fontId="3" fillId="0" borderId="115" xfId="0" applyFont="1" applyBorder="1"/>
    <xf numFmtId="0" fontId="3" fillId="0" borderId="32" xfId="0" applyFont="1" applyBorder="1"/>
    <xf numFmtId="0" fontId="1" fillId="0" borderId="16" xfId="0" applyFont="1" applyBorder="1" applyAlignment="1">
      <alignment horizontal="right"/>
    </xf>
    <xf numFmtId="0" fontId="1" fillId="0" borderId="35" xfId="0" applyFont="1" applyBorder="1"/>
    <xf numFmtId="2" fontId="0" fillId="0" borderId="38" xfId="0" applyNumberFormat="1" applyBorder="1"/>
    <xf numFmtId="168" fontId="0" fillId="0" borderId="38" xfId="0" applyNumberFormat="1" applyBorder="1"/>
    <xf numFmtId="0" fontId="1" fillId="0" borderId="39" xfId="0" applyFont="1" applyBorder="1"/>
    <xf numFmtId="1" fontId="0" fillId="0" borderId="40" xfId="0" applyNumberFormat="1" applyBorder="1"/>
    <xf numFmtId="0" fontId="0" fillId="0" borderId="42" xfId="0" applyBorder="1"/>
    <xf numFmtId="0" fontId="0" fillId="0" borderId="35" xfId="0" applyBorder="1" applyAlignment="1">
      <alignment horizontal="right"/>
    </xf>
    <xf numFmtId="0" fontId="3" fillId="0" borderId="34" xfId="0" applyFont="1" applyFill="1" applyBorder="1"/>
    <xf numFmtId="0" fontId="0" fillId="0" borderId="38" xfId="0" applyBorder="1" applyAlignment="1">
      <alignment horizontal="center"/>
    </xf>
    <xf numFmtId="1" fontId="0" fillId="0" borderId="38" xfId="0" applyNumberFormat="1" applyBorder="1"/>
    <xf numFmtId="0" fontId="0" fillId="0" borderId="40" xfId="0" applyBorder="1" applyAlignment="1">
      <alignment horizontal="right"/>
    </xf>
    <xf numFmtId="2" fontId="0" fillId="0" borderId="40" xfId="0" applyNumberFormat="1" applyBorder="1"/>
    <xf numFmtId="0" fontId="1" fillId="0" borderId="40" xfId="0" applyFont="1" applyBorder="1"/>
    <xf numFmtId="168" fontId="0" fillId="0" borderId="40" xfId="0" applyNumberFormat="1" applyBorder="1"/>
    <xf numFmtId="0" fontId="1" fillId="0" borderId="42" xfId="0" applyFont="1" applyBorder="1"/>
    <xf numFmtId="0" fontId="0" fillId="0" borderId="35" xfId="0" applyBorder="1" applyAlignment="1">
      <alignment horizontal="center"/>
    </xf>
    <xf numFmtId="0" fontId="0" fillId="0" borderId="34" xfId="0" applyBorder="1"/>
    <xf numFmtId="0" fontId="22" fillId="0" borderId="35" xfId="0" applyFont="1" applyBorder="1" applyAlignment="1">
      <alignment horizontal="right"/>
    </xf>
    <xf numFmtId="13" fontId="3" fillId="0" borderId="35" xfId="0" applyNumberFormat="1" applyFont="1" applyBorder="1" applyAlignment="1">
      <alignment horizontal="center"/>
    </xf>
    <xf numFmtId="0" fontId="22" fillId="0" borderId="36" xfId="0" applyFont="1" applyBorder="1"/>
    <xf numFmtId="13" fontId="3" fillId="0" borderId="38" xfId="0" applyNumberFormat="1" applyFont="1" applyBorder="1" applyAlignment="1">
      <alignment horizontal="center"/>
    </xf>
    <xf numFmtId="0" fontId="22" fillId="0" borderId="40" xfId="0" applyFont="1" applyBorder="1" applyAlignment="1">
      <alignment horizontal="right"/>
    </xf>
    <xf numFmtId="13" fontId="3" fillId="0" borderId="40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3" fillId="0" borderId="34" xfId="0" applyFont="1" applyBorder="1" applyAlignment="1">
      <alignment horizontal="left"/>
    </xf>
    <xf numFmtId="0" fontId="3" fillId="0" borderId="38" xfId="0" applyFont="1" applyBorder="1" applyAlignment="1">
      <alignment horizontal="center"/>
    </xf>
    <xf numFmtId="0" fontId="1" fillId="0" borderId="35" xfId="0" applyFont="1" applyBorder="1" applyAlignment="1">
      <alignment horizontal="right"/>
    </xf>
    <xf numFmtId="0" fontId="1" fillId="0" borderId="40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36" xfId="0" applyFont="1" applyBorder="1"/>
    <xf numFmtId="0" fontId="1" fillId="0" borderId="38" xfId="0" applyFont="1" applyBorder="1"/>
    <xf numFmtId="0" fontId="32" fillId="0" borderId="29" xfId="0" applyFont="1" applyBorder="1"/>
    <xf numFmtId="0" fontId="32" fillId="0" borderId="0" xfId="0" applyFont="1" applyAlignment="1">
      <alignment horizontal="center"/>
    </xf>
    <xf numFmtId="0" fontId="1" fillId="0" borderId="38" xfId="0" applyFont="1" applyBorder="1" applyAlignment="1">
      <alignment horizontal="right"/>
    </xf>
    <xf numFmtId="2" fontId="1" fillId="0" borderId="38" xfId="0" applyNumberFormat="1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3" fillId="0" borderId="30" xfId="0" applyFont="1" applyBorder="1"/>
    <xf numFmtId="0" fontId="1" fillId="0" borderId="37" xfId="0" applyFont="1" applyBorder="1" applyAlignment="1">
      <alignment horizontal="right"/>
    </xf>
    <xf numFmtId="1" fontId="3" fillId="0" borderId="38" xfId="0" applyNumberFormat="1" applyFont="1" applyBorder="1"/>
    <xf numFmtId="0" fontId="0" fillId="0" borderId="41" xfId="0" applyBorder="1" applyAlignment="1">
      <alignment horizontal="right"/>
    </xf>
    <xf numFmtId="0" fontId="33" fillId="0" borderId="40" xfId="0" applyFont="1" applyBorder="1" applyAlignment="1">
      <alignment horizontal="right"/>
    </xf>
    <xf numFmtId="0" fontId="0" fillId="0" borderId="50" xfId="0" applyBorder="1" applyAlignment="1">
      <alignment horizontal="right"/>
    </xf>
    <xf numFmtId="2" fontId="0" fillId="0" borderId="50" xfId="0" applyNumberFormat="1" applyBorder="1"/>
    <xf numFmtId="0" fontId="1" fillId="0" borderId="50" xfId="0" applyFont="1" applyBorder="1"/>
    <xf numFmtId="0" fontId="0" fillId="0" borderId="50" xfId="0" applyBorder="1"/>
    <xf numFmtId="168" fontId="0" fillId="0" borderId="50" xfId="0" applyNumberFormat="1" applyBorder="1"/>
    <xf numFmtId="170" fontId="0" fillId="0" borderId="31" xfId="43" applyNumberFormat="1" applyFont="1" applyBorder="1"/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68" fontId="3" fillId="0" borderId="38" xfId="0" applyNumberFormat="1" applyFont="1" applyBorder="1"/>
    <xf numFmtId="170" fontId="0" fillId="0" borderId="39" xfId="43" applyNumberFormat="1" applyFont="1" applyBorder="1"/>
    <xf numFmtId="170" fontId="0" fillId="0" borderId="42" xfId="43" applyNumberFormat="1" applyFont="1" applyBorder="1"/>
    <xf numFmtId="0" fontId="1" fillId="0" borderId="18" xfId="0" applyFont="1" applyBorder="1"/>
    <xf numFmtId="0" fontId="0" fillId="0" borderId="15" xfId="0" applyFill="1" applyBorder="1"/>
    <xf numFmtId="168" fontId="3" fillId="0" borderId="40" xfId="0" applyNumberFormat="1" applyFont="1" applyBorder="1"/>
    <xf numFmtId="0" fontId="2" fillId="0" borderId="0" xfId="0" applyFont="1"/>
    <xf numFmtId="13" fontId="2" fillId="0" borderId="0" xfId="0" applyNumberFormat="1" applyFont="1"/>
    <xf numFmtId="14" fontId="0" fillId="0" borderId="0" xfId="0" applyNumberFormat="1"/>
    <xf numFmtId="0" fontId="1" fillId="0" borderId="0" xfId="0" applyFont="1" applyAlignment="1">
      <alignment horizontal="right"/>
    </xf>
    <xf numFmtId="0" fontId="1" fillId="0" borderId="83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82" xfId="0" applyBorder="1" applyAlignment="1">
      <alignment horizontal="center"/>
    </xf>
    <xf numFmtId="0" fontId="0" fillId="0" borderId="116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118" xfId="0" applyBorder="1" applyAlignment="1">
      <alignment horizontal="center"/>
    </xf>
    <xf numFmtId="0" fontId="0" fillId="0" borderId="119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116" xfId="0" applyFill="1" applyBorder="1" applyAlignment="1">
      <alignment horizontal="center"/>
    </xf>
    <xf numFmtId="0" fontId="0" fillId="0" borderId="117" xfId="0" applyBorder="1" applyAlignment="1">
      <alignment horizontal="center"/>
    </xf>
    <xf numFmtId="0" fontId="0" fillId="0" borderId="118" xfId="0" applyFill="1" applyBorder="1" applyAlignment="1">
      <alignment horizontal="center"/>
    </xf>
    <xf numFmtId="0" fontId="0" fillId="0" borderId="93" xfId="0" applyBorder="1" applyAlignment="1">
      <alignment horizontal="center"/>
    </xf>
    <xf numFmtId="0" fontId="0" fillId="0" borderId="119" xfId="0" applyFill="1" applyBorder="1" applyAlignment="1">
      <alignment horizontal="center"/>
    </xf>
    <xf numFmtId="0" fontId="0" fillId="0" borderId="106" xfId="0" applyBorder="1" applyAlignment="1">
      <alignment horizontal="center"/>
    </xf>
    <xf numFmtId="0" fontId="0" fillId="0" borderId="84" xfId="0" applyFont="1" applyFill="1" applyBorder="1" applyAlignment="1">
      <alignment horizontal="center"/>
    </xf>
    <xf numFmtId="0" fontId="0" fillId="0" borderId="86" xfId="0" applyFont="1" applyFill="1" applyBorder="1" applyAlignment="1">
      <alignment horizontal="center"/>
    </xf>
    <xf numFmtId="2" fontId="0" fillId="0" borderId="121" xfId="0" applyNumberFormat="1" applyBorder="1" applyAlignment="1">
      <alignment horizontal="center"/>
    </xf>
    <xf numFmtId="0" fontId="0" fillId="0" borderId="120" xfId="0" applyBorder="1" applyAlignment="1">
      <alignment horizontal="center"/>
    </xf>
    <xf numFmtId="2" fontId="0" fillId="0" borderId="59" xfId="0" applyNumberFormat="1" applyFill="1" applyBorder="1" applyAlignment="1">
      <alignment horizontal="center"/>
    </xf>
    <xf numFmtId="0" fontId="35" fillId="0" borderId="0" xfId="0" applyFont="1"/>
    <xf numFmtId="0" fontId="36" fillId="0" borderId="29" xfId="0" applyFont="1" applyBorder="1"/>
    <xf numFmtId="0" fontId="36" fillId="0" borderId="32" xfId="0" applyFont="1" applyBorder="1"/>
    <xf numFmtId="0" fontId="3" fillId="0" borderId="85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64" xfId="0" applyFont="1" applyFill="1" applyBorder="1" applyAlignment="1">
      <alignment horizontal="center"/>
    </xf>
    <xf numFmtId="0" fontId="0" fillId="0" borderId="122" xfId="0" applyBorder="1"/>
    <xf numFmtId="0" fontId="0" fillId="0" borderId="123" xfId="0" applyBorder="1"/>
    <xf numFmtId="0" fontId="0" fillId="0" borderId="124" xfId="0" applyBorder="1"/>
    <xf numFmtId="0" fontId="0" fillId="0" borderId="125" xfId="0" applyBorder="1"/>
    <xf numFmtId="0" fontId="0" fillId="0" borderId="126" xfId="0" applyBorder="1"/>
    <xf numFmtId="0" fontId="0" fillId="0" borderId="127" xfId="0" applyBorder="1"/>
    <xf numFmtId="0" fontId="0" fillId="0" borderId="34" xfId="0" applyBorder="1" applyAlignment="1">
      <alignment horizontal="center"/>
    </xf>
    <xf numFmtId="2" fontId="0" fillId="0" borderId="62" xfId="0" applyNumberFormat="1" applyFill="1" applyBorder="1" applyAlignment="1">
      <alignment horizontal="center"/>
    </xf>
    <xf numFmtId="0" fontId="0" fillId="0" borderId="37" xfId="0" applyBorder="1" applyAlignment="1">
      <alignment horizontal="center"/>
    </xf>
    <xf numFmtId="2" fontId="0" fillId="0" borderId="57" xfId="0" applyNumberFormat="1" applyFill="1" applyBorder="1" applyAlignment="1">
      <alignment horizontal="center"/>
    </xf>
    <xf numFmtId="0" fontId="0" fillId="0" borderId="41" xfId="0" applyBorder="1" applyAlignment="1">
      <alignment horizontal="center"/>
    </xf>
    <xf numFmtId="2" fontId="0" fillId="0" borderId="71" xfId="0" applyNumberFormat="1" applyFill="1" applyBorder="1" applyAlignment="1">
      <alignment horizontal="center"/>
    </xf>
    <xf numFmtId="2" fontId="0" fillId="0" borderId="128" xfId="0" applyNumberFormat="1" applyBorder="1" applyAlignment="1">
      <alignment horizontal="center"/>
    </xf>
    <xf numFmtId="0" fontId="1" fillId="0" borderId="12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13" fontId="0" fillId="0" borderId="67" xfId="0" applyNumberFormat="1" applyFill="1" applyBorder="1" applyAlignment="1">
      <alignment horizontal="center"/>
    </xf>
    <xf numFmtId="13" fontId="0" fillId="0" borderId="69" xfId="0" applyNumberFormat="1" applyFill="1" applyBorder="1" applyAlignment="1">
      <alignment horizontal="center"/>
    </xf>
    <xf numFmtId="13" fontId="0" fillId="0" borderId="72" xfId="0" applyNumberFormat="1" applyFill="1" applyBorder="1" applyAlignment="1">
      <alignment horizontal="center"/>
    </xf>
    <xf numFmtId="0" fontId="1" fillId="0" borderId="32" xfId="0" applyFont="1" applyBorder="1"/>
    <xf numFmtId="166" fontId="0" fillId="0" borderId="0" xfId="0" applyNumberFormat="1"/>
    <xf numFmtId="9" fontId="0" fillId="0" borderId="0" xfId="39" applyFont="1"/>
    <xf numFmtId="0" fontId="0" fillId="31" borderId="35" xfId="0" applyFill="1" applyBorder="1" applyAlignment="1" applyProtection="1">
      <alignment horizontal="center"/>
      <protection locked="0"/>
    </xf>
    <xf numFmtId="0" fontId="0" fillId="31" borderId="38" xfId="0" applyFill="1" applyBorder="1" applyAlignment="1" applyProtection="1">
      <alignment horizontal="center"/>
      <protection locked="0"/>
    </xf>
    <xf numFmtId="0" fontId="0" fillId="31" borderId="40" xfId="0" applyFill="1" applyBorder="1" applyAlignment="1" applyProtection="1">
      <alignment horizontal="center"/>
      <protection locked="0"/>
    </xf>
    <xf numFmtId="44" fontId="0" fillId="31" borderId="38" xfId="43" applyFont="1" applyFill="1" applyBorder="1" applyProtection="1">
      <protection locked="0"/>
    </xf>
    <xf numFmtId="44" fontId="0" fillId="31" borderId="40" xfId="43" applyFont="1" applyFill="1" applyBorder="1" applyProtection="1">
      <protection locked="0"/>
    </xf>
    <xf numFmtId="2" fontId="0" fillId="31" borderId="38" xfId="0" applyNumberFormat="1" applyFill="1" applyBorder="1" applyAlignment="1" applyProtection="1">
      <alignment horizontal="center"/>
      <protection locked="0"/>
    </xf>
    <xf numFmtId="0" fontId="2" fillId="0" borderId="14" xfId="0" applyFont="1" applyBorder="1"/>
    <xf numFmtId="0" fontId="2" fillId="0" borderId="15" xfId="0" applyFont="1" applyBorder="1"/>
    <xf numFmtId="0" fontId="2" fillId="0" borderId="33" xfId="0" applyFont="1" applyBorder="1" applyAlignment="1">
      <alignment horizontal="right"/>
    </xf>
    <xf numFmtId="0" fontId="2" fillId="0" borderId="85" xfId="0" applyFont="1" applyBorder="1" applyAlignment="1">
      <alignment horizontal="right"/>
    </xf>
    <xf numFmtId="167" fontId="0" fillId="0" borderId="85" xfId="0" applyNumberFormat="1" applyBorder="1"/>
    <xf numFmtId="0" fontId="37" fillId="0" borderId="0" xfId="0" applyFont="1" applyAlignment="1">
      <alignment horizontal="center"/>
    </xf>
    <xf numFmtId="14" fontId="0" fillId="0" borderId="0" xfId="0" applyNumberFormat="1" applyAlignment="1">
      <alignment horizontal="right"/>
    </xf>
    <xf numFmtId="0" fontId="1" fillId="0" borderId="10" xfId="0" applyFont="1" applyBorder="1"/>
    <xf numFmtId="164" fontId="0" fillId="0" borderId="84" xfId="39" applyNumberFormat="1" applyFont="1" applyBorder="1"/>
    <xf numFmtId="167" fontId="11" fillId="4" borderId="30" xfId="29" applyNumberFormat="1" applyBorder="1"/>
    <xf numFmtId="0" fontId="11" fillId="4" borderId="0" xfId="29" applyBorder="1" applyProtection="1">
      <protection hidden="1"/>
    </xf>
    <xf numFmtId="0" fontId="11" fillId="4" borderId="0" xfId="29" applyBorder="1"/>
    <xf numFmtId="167" fontId="11" fillId="4" borderId="40" xfId="29" applyNumberFormat="1" applyBorder="1" applyProtection="1">
      <protection hidden="1"/>
    </xf>
    <xf numFmtId="0" fontId="39" fillId="0" borderId="0" xfId="0" applyFont="1" applyProtection="1">
      <protection hidden="1"/>
    </xf>
    <xf numFmtId="2" fontId="22" fillId="26" borderId="38" xfId="0" applyNumberFormat="1" applyFont="1" applyFill="1" applyBorder="1" applyAlignment="1" applyProtection="1">
      <alignment horizontal="center"/>
      <protection locked="0" hidden="1"/>
    </xf>
    <xf numFmtId="2" fontId="0" fillId="0" borderId="80" xfId="0" applyNumberFormat="1" applyBorder="1" applyAlignment="1">
      <alignment horizontal="center"/>
    </xf>
    <xf numFmtId="0" fontId="31" fillId="0" borderId="80" xfId="0" applyFont="1" applyBorder="1"/>
    <xf numFmtId="0" fontId="31" fillId="0" borderId="83" xfId="0" applyFont="1" applyBorder="1" applyAlignment="1">
      <alignment horizontal="center"/>
    </xf>
    <xf numFmtId="0" fontId="31" fillId="0" borderId="60" xfId="0" applyFont="1" applyBorder="1" applyAlignment="1">
      <alignment horizontal="center"/>
    </xf>
    <xf numFmtId="0" fontId="31" fillId="0" borderId="84" xfId="0" applyFont="1" applyBorder="1" applyAlignment="1">
      <alignment horizontal="center"/>
    </xf>
    <xf numFmtId="0" fontId="31" fillId="0" borderId="86" xfId="0" applyFont="1" applyBorder="1" applyAlignment="1">
      <alignment horizontal="center"/>
    </xf>
    <xf numFmtId="0" fontId="31" fillId="0" borderId="33" xfId="0" applyFont="1" applyBorder="1" applyAlignment="1">
      <alignment horizontal="center"/>
    </xf>
    <xf numFmtId="0" fontId="31" fillId="0" borderId="85" xfId="0" applyFont="1" applyFill="1" applyBorder="1" applyAlignment="1">
      <alignment horizontal="center"/>
    </xf>
    <xf numFmtId="0" fontId="31" fillId="0" borderId="86" xfId="0" applyFont="1" applyFill="1" applyBorder="1" applyAlignment="1">
      <alignment horizontal="center"/>
    </xf>
    <xf numFmtId="0" fontId="1" fillId="0" borderId="0" xfId="0" applyFont="1" applyBorder="1"/>
    <xf numFmtId="0" fontId="22" fillId="32" borderId="38" xfId="0" applyFont="1" applyFill="1" applyBorder="1" applyProtection="1">
      <protection locked="0" hidden="1"/>
    </xf>
    <xf numFmtId="0" fontId="2" fillId="0" borderId="82" xfId="0" applyFont="1" applyBorder="1"/>
    <xf numFmtId="0" fontId="1" fillId="0" borderId="115" xfId="0" applyFont="1" applyBorder="1"/>
    <xf numFmtId="0" fontId="1" fillId="0" borderId="58" xfId="0" applyFont="1" applyBorder="1" applyAlignment="1">
      <alignment horizontal="center"/>
    </xf>
    <xf numFmtId="0" fontId="1" fillId="0" borderId="110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2" fillId="0" borderId="115" xfId="0" applyFont="1" applyBorder="1"/>
    <xf numFmtId="0" fontId="0" fillId="0" borderId="115" xfId="0" applyBorder="1"/>
    <xf numFmtId="0" fontId="0" fillId="31" borderId="38" xfId="0" applyFill="1" applyBorder="1" applyProtection="1">
      <protection locked="0"/>
    </xf>
    <xf numFmtId="0" fontId="1" fillId="0" borderId="38" xfId="0" applyFont="1" applyFill="1" applyBorder="1" applyAlignment="1">
      <alignment horizontal="right"/>
    </xf>
    <xf numFmtId="0" fontId="0" fillId="0" borderId="38" xfId="0" applyFont="1" applyFill="1" applyBorder="1"/>
    <xf numFmtId="0" fontId="0" fillId="0" borderId="39" xfId="0" applyFont="1" applyFill="1" applyBorder="1"/>
    <xf numFmtId="0" fontId="1" fillId="0" borderId="38" xfId="0" applyFont="1" applyFill="1" applyBorder="1"/>
    <xf numFmtId="0" fontId="1" fillId="0" borderId="39" xfId="0" applyFont="1" applyFill="1" applyBorder="1"/>
    <xf numFmtId="0" fontId="31" fillId="0" borderId="40" xfId="0" applyFont="1" applyBorder="1" applyAlignment="1">
      <alignment horizontal="right"/>
    </xf>
    <xf numFmtId="0" fontId="0" fillId="31" borderId="40" xfId="0" applyFill="1" applyBorder="1" applyProtection="1">
      <protection locked="0"/>
    </xf>
    <xf numFmtId="0" fontId="1" fillId="0" borderId="40" xfId="0" applyFont="1" applyFill="1" applyBorder="1"/>
    <xf numFmtId="0" fontId="1" fillId="0" borderId="42" xfId="0" applyFont="1" applyFill="1" applyBorder="1"/>
    <xf numFmtId="0" fontId="3" fillId="0" borderId="38" xfId="0" applyFont="1" applyBorder="1"/>
    <xf numFmtId="0" fontId="2" fillId="0" borderId="38" xfId="0" applyFont="1" applyBorder="1"/>
    <xf numFmtId="0" fontId="2" fillId="0" borderId="39" xfId="0" applyFont="1" applyBorder="1"/>
    <xf numFmtId="167" fontId="1" fillId="0" borderId="38" xfId="0" applyNumberFormat="1" applyFont="1" applyBorder="1"/>
    <xf numFmtId="0" fontId="1" fillId="0" borderId="40" xfId="0" applyFont="1" applyFill="1" applyBorder="1" applyAlignment="1">
      <alignment horizontal="right"/>
    </xf>
    <xf numFmtId="164" fontId="0" fillId="0" borderId="38" xfId="39" applyNumberFormat="1" applyFont="1" applyBorder="1"/>
    <xf numFmtId="0" fontId="1" fillId="0" borderId="40" xfId="0" applyFont="1" applyFill="1" applyBorder="1" applyAlignment="1">
      <alignment horizontal="center"/>
    </xf>
    <xf numFmtId="13" fontId="0" fillId="0" borderId="40" xfId="0" applyNumberFormat="1" applyBorder="1"/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12" fontId="0" fillId="0" borderId="0" xfId="0" applyNumberForma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2" fontId="2" fillId="0" borderId="0" xfId="0" applyNumberFormat="1" applyFont="1" applyBorder="1"/>
    <xf numFmtId="0" fontId="2" fillId="0" borderId="88" xfId="0" applyFont="1" applyBorder="1"/>
    <xf numFmtId="2" fontId="2" fillId="0" borderId="85" xfId="0" applyNumberFormat="1" applyFont="1" applyBorder="1"/>
    <xf numFmtId="0" fontId="2" fillId="0" borderId="85" xfId="0" applyFont="1" applyBorder="1"/>
    <xf numFmtId="0" fontId="2" fillId="0" borderId="86" xfId="0" applyFont="1" applyBorder="1"/>
    <xf numFmtId="0" fontId="2" fillId="0" borderId="83" xfId="0" applyFont="1" applyBorder="1"/>
    <xf numFmtId="0" fontId="41" fillId="0" borderId="0" xfId="0" applyFont="1" applyProtection="1">
      <protection hidden="1"/>
    </xf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167" fontId="0" fillId="31" borderId="38" xfId="0" applyNumberFormat="1" applyFill="1" applyBorder="1" applyProtection="1">
      <protection locked="0"/>
    </xf>
    <xf numFmtId="167" fontId="0" fillId="31" borderId="50" xfId="0" applyNumberFormat="1" applyFill="1" applyBorder="1" applyProtection="1">
      <protection locked="0"/>
    </xf>
    <xf numFmtId="167" fontId="0" fillId="0" borderId="44" xfId="0" applyNumberFormat="1" applyFill="1" applyBorder="1"/>
    <xf numFmtId="167" fontId="3" fillId="0" borderId="38" xfId="0" applyNumberFormat="1" applyFont="1" applyBorder="1" applyAlignment="1">
      <alignment horizontal="center"/>
    </xf>
    <xf numFmtId="167" fontId="0" fillId="0" borderId="130" xfId="0" applyNumberFormat="1" applyFill="1" applyBorder="1"/>
    <xf numFmtId="167" fontId="0" fillId="0" borderId="50" xfId="0" applyNumberFormat="1" applyBorder="1"/>
    <xf numFmtId="0" fontId="1" fillId="0" borderId="38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12" fontId="31" fillId="0" borderId="38" xfId="0" applyNumberFormat="1" applyFont="1" applyBorder="1" applyAlignment="1">
      <alignment horizontal="center"/>
    </xf>
    <xf numFmtId="12" fontId="31" fillId="0" borderId="39" xfId="0" applyNumberFormat="1" applyFont="1" applyBorder="1" applyAlignment="1">
      <alignment horizontal="center"/>
    </xf>
    <xf numFmtId="12" fontId="31" fillId="0" borderId="40" xfId="0" applyNumberFormat="1" applyFont="1" applyBorder="1" applyAlignment="1">
      <alignment horizontal="center"/>
    </xf>
    <xf numFmtId="12" fontId="42" fillId="0" borderId="42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indent="1"/>
    </xf>
    <xf numFmtId="0" fontId="2" fillId="0" borderId="85" xfId="0" applyFont="1" applyBorder="1" applyAlignment="1">
      <alignment horizontal="left" indent="1"/>
    </xf>
    <xf numFmtId="13" fontId="0" fillId="31" borderId="38" xfId="0" applyNumberFormat="1" applyFill="1" applyBorder="1" applyProtection="1">
      <protection locked="0"/>
    </xf>
    <xf numFmtId="13" fontId="0" fillId="31" borderId="40" xfId="0" applyNumberFormat="1" applyFill="1" applyBorder="1" applyProtection="1">
      <protection locked="0"/>
    </xf>
    <xf numFmtId="0" fontId="0" fillId="0" borderId="115" xfId="0" applyBorder="1" applyAlignment="1">
      <alignment horizontal="center"/>
    </xf>
    <xf numFmtId="0" fontId="1" fillId="28" borderId="0" xfId="0" applyFont="1" applyFill="1"/>
    <xf numFmtId="0" fontId="1" fillId="0" borderId="0" xfId="0" applyFont="1" applyAlignment="1">
      <alignment horizontal="center"/>
    </xf>
    <xf numFmtId="0" fontId="1" fillId="0" borderId="38" xfId="0" applyFont="1" applyBorder="1" applyAlignment="1" applyProtection="1">
      <alignment horizontal="right"/>
      <protection hidden="1"/>
    </xf>
    <xf numFmtId="0" fontId="1" fillId="0" borderId="34" xfId="0" applyFont="1" applyBorder="1"/>
    <xf numFmtId="0" fontId="1" fillId="0" borderId="14" xfId="0" applyFont="1" applyBorder="1" applyAlignment="1">
      <alignment horizontal="right"/>
    </xf>
    <xf numFmtId="2" fontId="31" fillId="0" borderId="10" xfId="0" applyNumberFormat="1" applyFont="1" applyBorder="1"/>
    <xf numFmtId="2" fontId="31" fillId="0" borderId="14" xfId="0" applyNumberFormat="1" applyFont="1" applyBorder="1"/>
    <xf numFmtId="0" fontId="2" fillId="33" borderId="15" xfId="0" applyFont="1" applyFill="1" applyBorder="1" applyAlignment="1">
      <alignment horizontal="center"/>
    </xf>
    <xf numFmtId="167" fontId="0" fillId="30" borderId="66" xfId="0" applyNumberFormat="1" applyFill="1" applyBorder="1" applyAlignment="1">
      <alignment horizontal="center"/>
    </xf>
    <xf numFmtId="167" fontId="0" fillId="30" borderId="68" xfId="0" applyNumberFormat="1" applyFill="1" applyBorder="1" applyAlignment="1">
      <alignment horizontal="center"/>
    </xf>
    <xf numFmtId="167" fontId="0" fillId="30" borderId="70" xfId="0" applyNumberFormat="1" applyFill="1" applyBorder="1" applyAlignment="1">
      <alignment horizontal="center"/>
    </xf>
    <xf numFmtId="167" fontId="0" fillId="30" borderId="105" xfId="0" applyNumberFormat="1" applyFill="1" applyBorder="1" applyAlignment="1">
      <alignment horizontal="center"/>
    </xf>
    <xf numFmtId="167" fontId="0" fillId="30" borderId="93" xfId="0" applyNumberFormat="1" applyFill="1" applyBorder="1" applyAlignment="1">
      <alignment horizontal="center"/>
    </xf>
    <xf numFmtId="167" fontId="0" fillId="30" borderId="99" xfId="0" applyNumberFormat="1" applyFill="1" applyBorder="1" applyAlignment="1">
      <alignment horizontal="center"/>
    </xf>
    <xf numFmtId="167" fontId="0" fillId="30" borderId="62" xfId="0" applyNumberFormat="1" applyFill="1" applyBorder="1" applyAlignment="1">
      <alignment horizontal="center"/>
    </xf>
    <xf numFmtId="167" fontId="0" fillId="30" borderId="59" xfId="0" applyNumberFormat="1" applyFill="1" applyBorder="1" applyAlignment="1">
      <alignment horizontal="center"/>
    </xf>
    <xf numFmtId="167" fontId="0" fillId="30" borderId="71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3" fillId="0" borderId="78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/>
    </xf>
    <xf numFmtId="0" fontId="31" fillId="0" borderId="36" xfId="0" applyFont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43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26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8"/>
      </font>
    </dxf>
    <dxf>
      <font>
        <b/>
        <i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 patternType="solid">
          <bgColor rgb="FFC00000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FF0000"/>
      </font>
      <fill>
        <patternFill patternType="solid">
          <fgColor auto="1"/>
          <bgColor rgb="FFFFFFCC"/>
        </patternFill>
      </fill>
    </dxf>
    <dxf>
      <font>
        <b/>
        <i val="0"/>
        <color theme="3"/>
      </font>
      <numFmt numFmtId="171" formatCode="#0.00##&quot; **&quot;"/>
      <fill>
        <patternFill>
          <bgColor rgb="FFCCFFFF"/>
        </patternFill>
      </fill>
    </dxf>
    <dxf>
      <font>
        <b/>
        <i val="0"/>
        <color rgb="FFFF0000"/>
      </font>
      <fill>
        <patternFill>
          <bgColor rgb="FFF2DDDC"/>
        </patternFill>
      </fill>
    </dxf>
    <dxf>
      <fill>
        <patternFill>
          <bgColor theme="8" tint="0.7999816888943144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8"/>
      </font>
    </dxf>
    <dxf>
      <font>
        <b/>
        <i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8"/>
      </font>
    </dxf>
    <dxf>
      <font>
        <b/>
        <i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FFCCFF"/>
      <color rgb="FFFFFFCC"/>
      <color rgb="FFFFFF99"/>
      <color rgb="FFCCFFFF"/>
      <color rgb="FFFFFFFF"/>
      <color rgb="FFF2DD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51</xdr:row>
      <xdr:rowOff>123825</xdr:rowOff>
    </xdr:from>
    <xdr:to>
      <xdr:col>6</xdr:col>
      <xdr:colOff>0</xdr:colOff>
      <xdr:row>54</xdr:row>
      <xdr:rowOff>76199</xdr:rowOff>
    </xdr:to>
    <xdr:sp macro="" textlink="">
      <xdr:nvSpPr>
        <xdr:cNvPr id="2" name="TextBox 1"/>
        <xdr:cNvSpPr txBox="1"/>
      </xdr:nvSpPr>
      <xdr:spPr>
        <a:xfrm>
          <a:off x="638176" y="7191375"/>
          <a:ext cx="3362324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/>
            <a:t>Quantities are for preliminary engineering only.  Error of ± 5% is common.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523875</xdr:colOff>
          <xdr:row>1</xdr:row>
          <xdr:rowOff>19050</xdr:rowOff>
        </xdr:from>
        <xdr:to>
          <xdr:col>32</xdr:col>
          <xdr:colOff>314325</xdr:colOff>
          <xdr:row>2</xdr:row>
          <xdr:rowOff>152400</xdr:rowOff>
        </xdr:to>
        <xdr:sp macro="" textlink="">
          <xdr:nvSpPr>
            <xdr:cNvPr id="6152" name="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80"/>
                  </a:solidFill>
                  <a:latin typeface="Arial"/>
                  <a:cs typeface="Arial"/>
                </a:rPr>
                <a:t>Compute Chart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228600</xdr:colOff>
          <xdr:row>1</xdr:row>
          <xdr:rowOff>28575</xdr:rowOff>
        </xdr:from>
        <xdr:to>
          <xdr:col>11</xdr:col>
          <xdr:colOff>333375</xdr:colOff>
          <xdr:row>2</xdr:row>
          <xdr:rowOff>123825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Recalculate Sheet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C/CC_2008/RECT_BM_AC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C/REST_COL_GEO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 Sizes"/>
      <sheetName val="Rect Column Calc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 Sizes"/>
      <sheetName val="Rect Column Calc"/>
      <sheetName val="Concrete"/>
      <sheetName val="Sheet3"/>
    </sheetNames>
    <sheetDataSet>
      <sheetData sheetId="0" refreshError="1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B1:AS58"/>
  <sheetViews>
    <sheetView zoomScale="75" zoomScaleNormal="100" workbookViewId="0">
      <selection activeCell="K7" sqref="K7"/>
    </sheetView>
  </sheetViews>
  <sheetFormatPr defaultRowHeight="12.75" x14ac:dyDescent="0.2"/>
  <cols>
    <col min="1" max="2" width="9.140625" style="104"/>
    <col min="3" max="3" width="11" style="104" customWidth="1"/>
    <col min="4" max="4" width="10.7109375" style="104" bestFit="1" customWidth="1"/>
    <col min="5" max="5" width="12.7109375" style="104" customWidth="1"/>
    <col min="6" max="6" width="10.42578125" style="104" customWidth="1"/>
    <col min="7" max="25" width="9.140625" style="104"/>
    <col min="26" max="26" width="9.42578125" style="104" bestFit="1" customWidth="1"/>
    <col min="27" max="34" width="9.140625" style="104"/>
    <col min="35" max="35" width="12" style="104" bestFit="1" customWidth="1"/>
    <col min="36" max="16384" width="9.140625" style="104"/>
  </cols>
  <sheetData>
    <row r="1" spans="2:45" ht="18.75" thickBot="1" x14ac:dyDescent="0.3">
      <c r="C1" s="633" t="s">
        <v>582</v>
      </c>
      <c r="M1"/>
      <c r="N1"/>
      <c r="O1"/>
      <c r="P1"/>
      <c r="Q1"/>
      <c r="R1"/>
      <c r="S1"/>
      <c r="T1"/>
    </row>
    <row r="2" spans="2:45" ht="15" thickBot="1" x14ac:dyDescent="0.3">
      <c r="B2" s="105"/>
      <c r="C2" s="106" t="s">
        <v>239</v>
      </c>
      <c r="D2" s="107"/>
      <c r="E2" s="107"/>
      <c r="F2" s="108"/>
      <c r="G2" s="109"/>
      <c r="H2" s="168" t="s">
        <v>354</v>
      </c>
      <c r="I2" s="109">
        <f>INT(E3/G24*4)/4</f>
        <v>10.25</v>
      </c>
      <c r="J2" s="109"/>
      <c r="M2"/>
      <c r="N2"/>
      <c r="O2"/>
      <c r="P2"/>
      <c r="Q2"/>
      <c r="R2"/>
      <c r="S2"/>
      <c r="T2"/>
      <c r="V2" s="106" t="s">
        <v>645</v>
      </c>
      <c r="W2" s="110"/>
      <c r="X2" s="110"/>
      <c r="Y2" s="110"/>
      <c r="Z2" s="111"/>
      <c r="AC2" s="106" t="s">
        <v>646</v>
      </c>
      <c r="AD2" s="110"/>
      <c r="AE2" s="110"/>
      <c r="AF2" s="110"/>
      <c r="AG2" s="111"/>
      <c r="AK2" s="112" t="s">
        <v>240</v>
      </c>
    </row>
    <row r="3" spans="2:45" ht="15.75" x14ac:dyDescent="0.3">
      <c r="B3" s="105"/>
      <c r="C3" s="113"/>
      <c r="D3" s="114" t="s">
        <v>241</v>
      </c>
      <c r="E3" s="115">
        <v>12</v>
      </c>
      <c r="F3" s="116" t="s">
        <v>205</v>
      </c>
      <c r="G3" s="109"/>
      <c r="H3" s="168" t="s">
        <v>355</v>
      </c>
      <c r="I3" s="630">
        <f>E55</f>
        <v>10.75</v>
      </c>
      <c r="J3" s="109">
        <f>12/I3</f>
        <v>1.1162790697674418</v>
      </c>
      <c r="M3"/>
      <c r="N3"/>
      <c r="O3" s="706" t="s">
        <v>608</v>
      </c>
      <c r="P3" s="131"/>
      <c r="Q3" s="131"/>
      <c r="R3" s="131"/>
      <c r="S3" s="132"/>
      <c r="T3"/>
      <c r="V3" s="117"/>
      <c r="W3" s="124" t="s">
        <v>243</v>
      </c>
      <c r="X3" s="119">
        <f>Q7*1000</f>
        <v>3986548.4596626009</v>
      </c>
      <c r="Y3" s="119"/>
      <c r="Z3" s="120"/>
      <c r="AC3" s="117"/>
      <c r="AD3" s="124" t="s">
        <v>243</v>
      </c>
      <c r="AE3" s="119">
        <f>X3</f>
        <v>3986548.4596626009</v>
      </c>
      <c r="AF3" s="119"/>
      <c r="AG3" s="120"/>
      <c r="AK3" s="121"/>
    </row>
    <row r="4" spans="2:45" x14ac:dyDescent="0.2">
      <c r="B4" s="105"/>
      <c r="C4" s="113"/>
      <c r="D4" s="114" t="s">
        <v>244</v>
      </c>
      <c r="E4" s="294">
        <f>'Custom Design'!F5</f>
        <v>7.75</v>
      </c>
      <c r="F4" s="116" t="s">
        <v>205</v>
      </c>
      <c r="G4" s="109"/>
      <c r="H4" s="109"/>
      <c r="I4" s="109"/>
      <c r="J4" s="109"/>
      <c r="M4"/>
      <c r="N4"/>
      <c r="O4" s="134"/>
      <c r="P4" s="135"/>
      <c r="Q4" s="135"/>
      <c r="R4" s="135"/>
      <c r="S4" s="137"/>
      <c r="T4"/>
      <c r="V4" s="117"/>
      <c r="W4" s="124" t="s">
        <v>245</v>
      </c>
      <c r="X4" s="119">
        <v>29000000</v>
      </c>
      <c r="Y4" s="119"/>
      <c r="Z4" s="120"/>
      <c r="AC4" s="117"/>
      <c r="AD4" s="124" t="s">
        <v>245</v>
      </c>
      <c r="AE4" s="119">
        <f>X4</f>
        <v>29000000</v>
      </c>
      <c r="AF4" s="119"/>
      <c r="AG4" s="120"/>
      <c r="AK4" s="123" t="str">
        <f>'Bar Sizes'!D26</f>
        <v># 3</v>
      </c>
      <c r="AL4"/>
      <c r="AM4"/>
      <c r="AN4"/>
      <c r="AO4"/>
      <c r="AP4"/>
      <c r="AQ4"/>
      <c r="AR4"/>
      <c r="AS4"/>
    </row>
    <row r="5" spans="2:45" ht="15.75" x14ac:dyDescent="0.3">
      <c r="B5" s="105"/>
      <c r="C5" s="113"/>
      <c r="D5" s="114" t="s">
        <v>246</v>
      </c>
      <c r="E5" s="645">
        <f>'Custom Design'!F9</f>
        <v>4</v>
      </c>
      <c r="F5" s="116" t="s">
        <v>52</v>
      </c>
      <c r="G5" s="109"/>
      <c r="H5" s="109"/>
      <c r="I5" s="109"/>
      <c r="J5" s="109"/>
      <c r="M5"/>
      <c r="N5"/>
      <c r="O5" s="134"/>
      <c r="P5" s="539" t="s">
        <v>610</v>
      </c>
      <c r="Q5" s="135">
        <v>0.14499999999999999</v>
      </c>
      <c r="R5" s="536" t="s">
        <v>613</v>
      </c>
      <c r="S5" s="137"/>
      <c r="T5"/>
      <c r="V5" s="117"/>
      <c r="W5" s="124" t="s">
        <v>247</v>
      </c>
      <c r="X5" s="119">
        <f>ROUND(X4/X3,0)</f>
        <v>7</v>
      </c>
      <c r="Y5" s="119"/>
      <c r="Z5" s="120"/>
      <c r="AC5" s="117"/>
      <c r="AD5" s="124" t="s">
        <v>647</v>
      </c>
      <c r="AE5" s="119">
        <f>X5*2</f>
        <v>14</v>
      </c>
      <c r="AF5" s="119"/>
      <c r="AG5" s="120"/>
      <c r="AK5" s="123" t="str">
        <f>'Bar Sizes'!D27</f>
        <v># 4</v>
      </c>
      <c r="AL5"/>
      <c r="AM5"/>
      <c r="AN5"/>
      <c r="AO5"/>
      <c r="AP5"/>
      <c r="AQ5"/>
      <c r="AR5"/>
      <c r="AS5"/>
    </row>
    <row r="6" spans="2:45" ht="16.5" thickBot="1" x14ac:dyDescent="0.35">
      <c r="B6" s="105"/>
      <c r="C6" s="113"/>
      <c r="D6" s="114" t="s">
        <v>248</v>
      </c>
      <c r="E6" s="645">
        <f>'Custom Design'!F8</f>
        <v>60</v>
      </c>
      <c r="F6" s="116" t="s">
        <v>52</v>
      </c>
      <c r="G6" s="109"/>
      <c r="H6" s="109"/>
      <c r="I6" s="109"/>
      <c r="M6"/>
      <c r="N6"/>
      <c r="O6" s="134"/>
      <c r="P6" s="539" t="s">
        <v>611</v>
      </c>
      <c r="Q6" s="135">
        <v>1</v>
      </c>
      <c r="R6" s="536" t="s">
        <v>614</v>
      </c>
      <c r="S6" s="137"/>
      <c r="T6"/>
      <c r="V6" s="117"/>
      <c r="W6" s="119" t="s">
        <v>249</v>
      </c>
      <c r="X6" s="119"/>
      <c r="Y6" s="119"/>
      <c r="Z6" s="120"/>
      <c r="AC6" s="117"/>
      <c r="AD6" s="119" t="s">
        <v>249</v>
      </c>
      <c r="AE6" s="119"/>
      <c r="AF6" s="119"/>
      <c r="AG6" s="120"/>
      <c r="AK6" s="123" t="str">
        <f>'Bar Sizes'!D28</f>
        <v># 5</v>
      </c>
      <c r="AL6"/>
      <c r="AM6"/>
      <c r="AN6"/>
      <c r="AO6"/>
      <c r="AP6"/>
      <c r="AQ6"/>
      <c r="AR6"/>
      <c r="AS6"/>
    </row>
    <row r="7" spans="2:45" ht="16.5" thickBot="1" x14ac:dyDescent="0.35">
      <c r="B7" s="105"/>
      <c r="C7" s="113"/>
      <c r="D7" s="114" t="s">
        <v>250</v>
      </c>
      <c r="E7" s="294">
        <f>'Custom Design'!G30*12</f>
        <v>91.333999999999989</v>
      </c>
      <c r="F7" s="116" t="s">
        <v>251</v>
      </c>
      <c r="G7" s="109"/>
      <c r="H7" s="39" t="s">
        <v>333</v>
      </c>
      <c r="I7" s="629">
        <f>INT(E3/G24*4)/4</f>
        <v>10.25</v>
      </c>
      <c r="M7"/>
      <c r="N7"/>
      <c r="O7" s="155"/>
      <c r="P7" s="533" t="s">
        <v>612</v>
      </c>
      <c r="Q7" s="156">
        <f>120000*Q6*Q5^2*E5^0.33</f>
        <v>3986.5484596626011</v>
      </c>
      <c r="R7" s="517" t="s">
        <v>52</v>
      </c>
      <c r="S7" s="510"/>
      <c r="T7"/>
      <c r="V7" s="117"/>
      <c r="W7" s="119"/>
      <c r="X7" s="125" t="s">
        <v>1</v>
      </c>
      <c r="Y7" s="119">
        <f>E3/2</f>
        <v>6</v>
      </c>
      <c r="Z7" s="120"/>
      <c r="AC7" s="117"/>
      <c r="AD7" s="119"/>
      <c r="AE7" s="125" t="s">
        <v>1</v>
      </c>
      <c r="AF7" s="119">
        <f>E3/2</f>
        <v>6</v>
      </c>
      <c r="AG7" s="120"/>
      <c r="AK7" s="123" t="str">
        <f>'Bar Sizes'!D29</f>
        <v># 6</v>
      </c>
      <c r="AL7"/>
      <c r="AM7"/>
      <c r="AN7"/>
      <c r="AO7"/>
      <c r="AP7"/>
      <c r="AQ7"/>
      <c r="AR7"/>
      <c r="AS7"/>
    </row>
    <row r="8" spans="2:45" x14ac:dyDescent="0.2">
      <c r="B8" s="105"/>
      <c r="C8" s="113"/>
      <c r="D8" s="705" t="s">
        <v>649</v>
      </c>
      <c r="E8" s="294">
        <f>'Custom Design'!E28*12</f>
        <v>45.559999999999995</v>
      </c>
      <c r="F8" s="116" t="s">
        <v>251</v>
      </c>
      <c r="G8" s="109"/>
      <c r="H8" s="109"/>
      <c r="I8" s="109"/>
      <c r="M8"/>
      <c r="N8"/>
      <c r="O8"/>
      <c r="P8"/>
      <c r="Q8"/>
      <c r="R8"/>
      <c r="S8"/>
      <c r="T8"/>
      <c r="V8" s="117"/>
      <c r="W8" s="119"/>
      <c r="X8" s="125" t="s">
        <v>253</v>
      </c>
      <c r="Y8" s="119">
        <f>X30*X5</f>
        <v>4.96</v>
      </c>
      <c r="Z8" s="120"/>
      <c r="AC8" s="117"/>
      <c r="AD8" s="119"/>
      <c r="AE8" s="125" t="s">
        <v>253</v>
      </c>
      <c r="AF8" s="119">
        <f>X30*AE5</f>
        <v>9.92</v>
      </c>
      <c r="AG8" s="120"/>
      <c r="AK8" s="123" t="str">
        <f>'Bar Sizes'!D30</f>
        <v># 7</v>
      </c>
      <c r="AL8"/>
      <c r="AM8"/>
      <c r="AN8"/>
      <c r="AO8"/>
      <c r="AP8"/>
      <c r="AQ8"/>
      <c r="AR8"/>
      <c r="AS8"/>
    </row>
    <row r="9" spans="2:45" x14ac:dyDescent="0.2">
      <c r="B9" s="105"/>
      <c r="C9" s="113"/>
      <c r="D9" s="705" t="s">
        <v>648</v>
      </c>
      <c r="E9" s="294">
        <f>('Custom Design'!E26+'Custom Design'!E27)*12</f>
        <v>8.9759999999999991</v>
      </c>
      <c r="F9" s="116" t="s">
        <v>251</v>
      </c>
      <c r="M9"/>
      <c r="N9"/>
      <c r="O9"/>
      <c r="P9"/>
      <c r="Q9"/>
      <c r="R9"/>
      <c r="S9"/>
      <c r="T9"/>
      <c r="V9" s="117"/>
      <c r="W9" s="119"/>
      <c r="X9" s="125" t="s">
        <v>254</v>
      </c>
      <c r="Y9" s="119">
        <f>-AA30*X5</f>
        <v>-24.49</v>
      </c>
      <c r="Z9" s="120"/>
      <c r="AC9" s="117"/>
      <c r="AD9" s="119"/>
      <c r="AE9" s="125" t="s">
        <v>254</v>
      </c>
      <c r="AF9" s="119">
        <f>-AA30*AE5</f>
        <v>-48.98</v>
      </c>
      <c r="AG9" s="120"/>
      <c r="AK9" s="123" t="str">
        <f>'Bar Sizes'!D31</f>
        <v># 8</v>
      </c>
      <c r="AL9"/>
      <c r="AM9"/>
      <c r="AN9"/>
      <c r="AO9"/>
      <c r="AP9"/>
      <c r="AQ9"/>
      <c r="AR9"/>
      <c r="AS9"/>
    </row>
    <row r="10" spans="2:45" x14ac:dyDescent="0.2">
      <c r="B10" s="105"/>
      <c r="C10" s="113"/>
      <c r="D10" s="118"/>
      <c r="E10" s="118"/>
      <c r="F10" s="116"/>
      <c r="G10" s="109"/>
      <c r="H10" s="109"/>
      <c r="I10" s="109"/>
      <c r="J10" s="109"/>
      <c r="M10"/>
      <c r="N10"/>
      <c r="O10"/>
      <c r="P10"/>
      <c r="Q10"/>
      <c r="R10"/>
      <c r="S10"/>
      <c r="T10"/>
      <c r="V10" s="117"/>
      <c r="W10" s="119"/>
      <c r="X10" s="125" t="s">
        <v>257</v>
      </c>
      <c r="Y10" s="118">
        <f>(-Y8-SQRT(Y8*Y8-4*Y7*Y9))/2/Y7</f>
        <v>-2.475495090109729</v>
      </c>
      <c r="Z10" s="120"/>
      <c r="AC10" s="117"/>
      <c r="AD10" s="119"/>
      <c r="AE10" s="125" t="s">
        <v>257</v>
      </c>
      <c r="AF10" s="118">
        <f>(-AF8-SQRT(AF8*AF8-4*AF7*AF9))/2/AF7</f>
        <v>-3.8010087974766229</v>
      </c>
      <c r="AG10" s="120"/>
      <c r="AK10" s="123" t="str">
        <f>'Bar Sizes'!D32</f>
        <v># 9</v>
      </c>
      <c r="AL10"/>
      <c r="AM10"/>
      <c r="AN10"/>
      <c r="AO10"/>
      <c r="AP10"/>
      <c r="AQ10"/>
      <c r="AR10"/>
      <c r="AS10"/>
    </row>
    <row r="11" spans="2:45" x14ac:dyDescent="0.2">
      <c r="B11" s="105"/>
      <c r="C11" s="113"/>
      <c r="D11" s="114" t="s">
        <v>256</v>
      </c>
      <c r="E11" s="295">
        <f>'Custom Design'!F10</f>
        <v>2.5</v>
      </c>
      <c r="F11" s="116" t="s">
        <v>205</v>
      </c>
      <c r="G11" s="109"/>
      <c r="H11" s="109"/>
      <c r="I11" s="109"/>
      <c r="J11" s="109"/>
      <c r="M11"/>
      <c r="N11"/>
      <c r="O11"/>
      <c r="P11"/>
      <c r="Q11"/>
      <c r="R11"/>
      <c r="S11"/>
      <c r="T11"/>
      <c r="V11" s="117"/>
      <c r="W11" s="119"/>
      <c r="X11" s="125" t="s">
        <v>260</v>
      </c>
      <c r="Y11" s="118">
        <f>(-Y8+SQRT(Y8*Y8-4*Y7*Y9))/2/Y7</f>
        <v>1.6488284234430621</v>
      </c>
      <c r="Z11" s="120"/>
      <c r="AC11" s="117"/>
      <c r="AD11" s="119"/>
      <c r="AE11" s="125" t="s">
        <v>260</v>
      </c>
      <c r="AF11" s="118">
        <f>(-AF8+SQRT(AF8*AF8-4*AF7*AF9))/2/AF7</f>
        <v>2.1476754641432891</v>
      </c>
      <c r="AG11" s="120"/>
      <c r="AK11" s="123" t="str">
        <f>'Bar Sizes'!D33</f>
        <v># 10</v>
      </c>
      <c r="AL11"/>
      <c r="AM11"/>
      <c r="AN11"/>
      <c r="AO11"/>
      <c r="AP11"/>
      <c r="AQ11"/>
      <c r="AR11"/>
      <c r="AS11"/>
    </row>
    <row r="12" spans="2:45" ht="13.5" thickBot="1" x14ac:dyDescent="0.25">
      <c r="B12" s="105"/>
      <c r="C12" s="113"/>
      <c r="D12" s="114" t="s">
        <v>259</v>
      </c>
      <c r="E12" s="133">
        <v>0</v>
      </c>
      <c r="F12" s="116" t="s">
        <v>205</v>
      </c>
      <c r="G12" s="109"/>
      <c r="H12" s="109"/>
      <c r="I12" s="109"/>
      <c r="J12" s="109"/>
      <c r="M12"/>
      <c r="N12"/>
      <c r="O12"/>
      <c r="P12"/>
      <c r="Q12"/>
      <c r="R12"/>
      <c r="S12"/>
      <c r="T12"/>
      <c r="V12" s="126"/>
      <c r="W12" s="127"/>
      <c r="X12" s="140" t="s">
        <v>252</v>
      </c>
      <c r="Y12" s="127">
        <f>MAX(Y10:Y11)</f>
        <v>1.6488284234430621</v>
      </c>
      <c r="Z12" s="141" t="s">
        <v>204</v>
      </c>
      <c r="AC12" s="126"/>
      <c r="AD12" s="127"/>
      <c r="AE12" s="140" t="s">
        <v>252</v>
      </c>
      <c r="AF12" s="127">
        <f>MAX(AF10:AF11)</f>
        <v>2.1476754641432891</v>
      </c>
      <c r="AG12" s="141" t="s">
        <v>204</v>
      </c>
      <c r="AK12" s="123" t="str">
        <f>'Bar Sizes'!D34</f>
        <v># 11</v>
      </c>
      <c r="AL12"/>
      <c r="AM12"/>
      <c r="AN12"/>
      <c r="AO12"/>
      <c r="AP12"/>
      <c r="AQ12"/>
      <c r="AR12"/>
      <c r="AS12"/>
    </row>
    <row r="13" spans="2:45" ht="13.5" thickBot="1" x14ac:dyDescent="0.25">
      <c r="B13" s="105"/>
      <c r="C13" s="138"/>
      <c r="D13" s="128" t="s">
        <v>261</v>
      </c>
      <c r="E13" s="139"/>
      <c r="F13" s="129"/>
      <c r="G13" s="109"/>
      <c r="H13" s="109"/>
      <c r="I13" s="109"/>
      <c r="J13" s="109"/>
      <c r="M13"/>
      <c r="N13"/>
      <c r="O13"/>
      <c r="P13"/>
      <c r="Q13"/>
      <c r="R13"/>
      <c r="S13"/>
      <c r="T13"/>
      <c r="AK13" s="123" t="str">
        <f>'Bar Sizes'!D35</f>
        <v># 14</v>
      </c>
      <c r="AL13"/>
      <c r="AM13"/>
      <c r="AN13"/>
      <c r="AO13"/>
      <c r="AP13"/>
      <c r="AQ13"/>
      <c r="AR13"/>
      <c r="AS13"/>
    </row>
    <row r="14" spans="2:45" ht="13.5" thickBot="1" x14ac:dyDescent="0.25">
      <c r="B14" s="105"/>
      <c r="C14" s="105"/>
      <c r="D14" s="105"/>
      <c r="E14" s="105"/>
      <c r="F14" s="105"/>
      <c r="G14" s="105"/>
      <c r="H14" s="105"/>
      <c r="I14" s="105"/>
      <c r="J14" s="105"/>
      <c r="M14"/>
      <c r="N14"/>
      <c r="O14"/>
      <c r="P14"/>
      <c r="Q14"/>
      <c r="R14"/>
      <c r="S14"/>
      <c r="T14"/>
      <c r="V14" s="106" t="s">
        <v>255</v>
      </c>
      <c r="W14" s="110"/>
      <c r="X14" s="110"/>
      <c r="Y14" s="110"/>
      <c r="Z14" s="110"/>
      <c r="AA14" s="111"/>
      <c r="AC14" s="106" t="s">
        <v>255</v>
      </c>
      <c r="AD14" s="110"/>
      <c r="AE14" s="110"/>
      <c r="AF14" s="110"/>
      <c r="AG14" s="110"/>
      <c r="AH14" s="111"/>
      <c r="AK14" s="144" t="str">
        <f>'Bar Sizes'!D36</f>
        <v># 18</v>
      </c>
      <c r="AL14"/>
      <c r="AM14"/>
      <c r="AN14"/>
      <c r="AO14"/>
      <c r="AP14"/>
      <c r="AQ14"/>
      <c r="AR14"/>
      <c r="AS14"/>
    </row>
    <row r="15" spans="2:45" x14ac:dyDescent="0.2">
      <c r="B15" s="105"/>
      <c r="C15" s="106" t="s">
        <v>264</v>
      </c>
      <c r="D15" s="107"/>
      <c r="E15" s="107"/>
      <c r="F15" s="107"/>
      <c r="G15" s="107"/>
      <c r="H15" s="107"/>
      <c r="I15" s="107"/>
      <c r="J15" s="108"/>
      <c r="M15"/>
      <c r="N15"/>
      <c r="O15"/>
      <c r="P15"/>
      <c r="Q15"/>
      <c r="R15"/>
      <c r="S15"/>
      <c r="T15"/>
      <c r="V15" s="117"/>
      <c r="W15" s="119"/>
      <c r="X15" s="119"/>
      <c r="Y15" s="124" t="s">
        <v>258</v>
      </c>
      <c r="Z15" s="119">
        <f>E3*Y12^3/3</f>
        <v>17.930251764766705</v>
      </c>
      <c r="AA15" s="120"/>
      <c r="AC15" s="117"/>
      <c r="AD15" s="119"/>
      <c r="AE15" s="119"/>
      <c r="AF15" s="124" t="s">
        <v>258</v>
      </c>
      <c r="AG15" s="119">
        <f>E3*AF12^3/3</f>
        <v>39.62469735523333</v>
      </c>
      <c r="AH15" s="120"/>
      <c r="AK15"/>
      <c r="AL15"/>
      <c r="AM15"/>
      <c r="AN15"/>
      <c r="AO15"/>
      <c r="AP15"/>
      <c r="AQ15"/>
      <c r="AR15"/>
      <c r="AS15"/>
    </row>
    <row r="16" spans="2:45" x14ac:dyDescent="0.2">
      <c r="B16" s="105"/>
      <c r="C16" s="146"/>
      <c r="D16" s="147" t="s">
        <v>266</v>
      </c>
      <c r="E16" s="148">
        <v>0.9</v>
      </c>
      <c r="F16" s="149"/>
      <c r="G16" s="149" t="str">
        <f>"Calculated phi = "&amp;TEXT(R49,"0.##0")&amp;IF(R49=E16, "  OK","    Caution")</f>
        <v>Calculated phi = 0.90  OK</v>
      </c>
      <c r="H16" s="149"/>
      <c r="I16" s="149"/>
      <c r="J16" s="150"/>
      <c r="M16"/>
      <c r="N16"/>
      <c r="O16"/>
      <c r="P16"/>
      <c r="Q16"/>
      <c r="R16"/>
      <c r="S16"/>
      <c r="T16"/>
      <c r="V16" s="117"/>
      <c r="W16" s="119" t="s">
        <v>56</v>
      </c>
      <c r="X16" s="119"/>
      <c r="Y16" s="124" t="str">
        <f>D23</f>
        <v>2nd Layer</v>
      </c>
      <c r="Z16" s="119">
        <f>X28*X5*(Z28-Y12)^2</f>
        <v>0</v>
      </c>
      <c r="AA16" s="120"/>
      <c r="AC16" s="117"/>
      <c r="AD16" s="119" t="s">
        <v>56</v>
      </c>
      <c r="AE16" s="119"/>
      <c r="AF16" s="124" t="str">
        <f>Y16</f>
        <v>2nd Layer</v>
      </c>
      <c r="AG16" s="119">
        <f>X28*X5*(Z28-Y12)^2</f>
        <v>0</v>
      </c>
      <c r="AH16" s="120"/>
      <c r="AK16"/>
      <c r="AL16"/>
      <c r="AM16"/>
      <c r="AN16"/>
      <c r="AO16"/>
      <c r="AP16"/>
      <c r="AQ16"/>
      <c r="AR16"/>
      <c r="AS16"/>
    </row>
    <row r="17" spans="2:45" ht="15" x14ac:dyDescent="0.25">
      <c r="B17" s="105"/>
      <c r="C17" s="113"/>
      <c r="D17" s="114" t="s">
        <v>319</v>
      </c>
      <c r="E17" s="153">
        <f>S31</f>
        <v>0.36207973795056653</v>
      </c>
      <c r="F17" s="118" t="s">
        <v>320</v>
      </c>
      <c r="G17" s="154" t="str">
        <f>IF(R42&gt;=0.005,"Tension Controlled, OK",IF(R42&lt;0.004,"Over-Reinforced, NG","Transition Zone, Caution"))</f>
        <v>Tension Controlled, OK</v>
      </c>
      <c r="H17" s="118"/>
      <c r="I17" s="118"/>
      <c r="J17" s="116"/>
      <c r="M17"/>
      <c r="N17"/>
      <c r="O17"/>
      <c r="P17"/>
      <c r="Q17"/>
      <c r="R17"/>
      <c r="S17"/>
      <c r="T17"/>
      <c r="V17" s="117"/>
      <c r="W17" s="119" t="s">
        <v>56</v>
      </c>
      <c r="X17" s="119"/>
      <c r="Y17" s="124" t="str">
        <f>D24</f>
        <v>Bottom Layer</v>
      </c>
      <c r="Z17" s="119">
        <f>X29*X5*(Z29-Y12)^2</f>
        <v>53.644189262729348</v>
      </c>
      <c r="AA17" s="120"/>
      <c r="AC17" s="117"/>
      <c r="AD17" s="119" t="s">
        <v>56</v>
      </c>
      <c r="AE17" s="119"/>
      <c r="AF17" s="124" t="str">
        <f>Y17</f>
        <v>Bottom Layer</v>
      </c>
      <c r="AG17" s="119">
        <f>X29*AE5*(Z29-AF12)^2</f>
        <v>77.208559733411676</v>
      </c>
      <c r="AH17" s="120"/>
      <c r="AK17"/>
      <c r="AL17"/>
      <c r="AM17"/>
      <c r="AN17"/>
      <c r="AO17"/>
      <c r="AP17"/>
      <c r="AQ17"/>
      <c r="AR17"/>
      <c r="AS17"/>
    </row>
    <row r="18" spans="2:45" ht="15" x14ac:dyDescent="0.25">
      <c r="B18" s="105"/>
      <c r="C18" s="113"/>
      <c r="D18" s="114" t="s">
        <v>321</v>
      </c>
      <c r="E18">
        <f>MAX(R53:R54)</f>
        <v>0.19750000000000001</v>
      </c>
      <c r="F18" s="118" t="s">
        <v>320</v>
      </c>
      <c r="G18" s="158" t="str">
        <f>IF(E19&gt;E17,"Minimum Steel Controls","")</f>
        <v/>
      </c>
      <c r="H18" s="118"/>
      <c r="I18" s="118"/>
      <c r="J18" s="116"/>
      <c r="M18"/>
      <c r="N18"/>
      <c r="O18"/>
      <c r="P18"/>
      <c r="Q18"/>
      <c r="R18"/>
      <c r="S18"/>
      <c r="T18"/>
      <c r="V18" s="113"/>
      <c r="W18" s="118"/>
      <c r="X18" s="118"/>
      <c r="Y18" s="114" t="s">
        <v>262</v>
      </c>
      <c r="Z18" s="118">
        <f>SUM(Z15:Z17)</f>
        <v>71.57444102749605</v>
      </c>
      <c r="AA18" s="116" t="s">
        <v>263</v>
      </c>
      <c r="AB18" s="105"/>
      <c r="AC18" s="113"/>
      <c r="AD18" s="118"/>
      <c r="AE18" s="118"/>
      <c r="AF18" s="114" t="s">
        <v>262</v>
      </c>
      <c r="AG18" s="118">
        <f>SUM(AG15:AG17)</f>
        <v>116.83325708864501</v>
      </c>
      <c r="AH18" s="116" t="s">
        <v>263</v>
      </c>
      <c r="AK18"/>
      <c r="AL18"/>
      <c r="AM18"/>
      <c r="AN18"/>
      <c r="AO18"/>
      <c r="AP18"/>
      <c r="AQ18"/>
      <c r="AR18"/>
      <c r="AS18"/>
    </row>
    <row r="19" spans="2:45" ht="15.75" thickBot="1" x14ac:dyDescent="0.3">
      <c r="B19" s="105"/>
      <c r="C19" s="138"/>
      <c r="D19" s="128" t="s">
        <v>322</v>
      </c>
      <c r="E19" s="632">
        <f>R55</f>
        <v>0.36207973795056653</v>
      </c>
      <c r="F19" s="160" t="s">
        <v>320</v>
      </c>
      <c r="G19" s="161" t="str">
        <f>IF(I25&lt;E19,"Steel Area Too Low!","")</f>
        <v/>
      </c>
      <c r="H19" s="160"/>
      <c r="I19" s="160"/>
      <c r="J19" s="129"/>
      <c r="M19" s="105"/>
      <c r="V19" s="113"/>
      <c r="W19" s="118"/>
      <c r="X19" s="118"/>
      <c r="Y19" s="114" t="s">
        <v>265</v>
      </c>
      <c r="Z19" s="118">
        <f>ROUND(E8*(AA32-Y12)/Z18*X5,2)</f>
        <v>14.65</v>
      </c>
      <c r="AA19" s="116" t="s">
        <v>52</v>
      </c>
      <c r="AB19" s="105"/>
      <c r="AC19" s="113"/>
      <c r="AD19" s="118"/>
      <c r="AE19" s="118"/>
      <c r="AF19" s="114" t="s">
        <v>265</v>
      </c>
      <c r="AG19" s="118">
        <f>ROUND(E9*(AA32-AF12)/AG18*AE5,2)</f>
        <v>3</v>
      </c>
      <c r="AH19" s="116" t="s">
        <v>52</v>
      </c>
      <c r="AK19"/>
      <c r="AL19"/>
      <c r="AM19"/>
      <c r="AN19"/>
      <c r="AO19"/>
      <c r="AP19"/>
      <c r="AQ19"/>
      <c r="AR19"/>
      <c r="AS19"/>
    </row>
    <row r="20" spans="2:45" ht="13.5" thickBot="1" x14ac:dyDescent="0.25">
      <c r="B20" s="105"/>
      <c r="D20" s="105"/>
      <c r="E20" s="105"/>
      <c r="F20" s="105"/>
      <c r="G20" s="105"/>
      <c r="H20" s="105"/>
      <c r="I20" s="105"/>
      <c r="J20" s="105"/>
      <c r="M20" s="105"/>
      <c r="N20" s="163" t="s">
        <v>269</v>
      </c>
      <c r="O20" s="164"/>
      <c r="P20" s="164"/>
      <c r="Q20" s="164"/>
      <c r="R20" s="164"/>
      <c r="S20" s="164"/>
      <c r="T20" s="165"/>
      <c r="V20" s="117"/>
      <c r="W20" s="119"/>
      <c r="X20" s="119"/>
      <c r="Y20" s="151" t="s">
        <v>267</v>
      </c>
      <c r="Z20" s="119">
        <f>ROUND(E8*(Y12)/Z18,3)</f>
        <v>1.05</v>
      </c>
      <c r="AA20" s="116" t="s">
        <v>52</v>
      </c>
      <c r="AC20" s="117"/>
      <c r="AD20" s="119"/>
      <c r="AE20" s="119"/>
      <c r="AF20" s="151" t="s">
        <v>267</v>
      </c>
      <c r="AG20" s="119">
        <f>ROUND(E9*(AF12)/AG18,3)</f>
        <v>0.16500000000000001</v>
      </c>
      <c r="AH20" s="116" t="s">
        <v>52</v>
      </c>
      <c r="AK20"/>
      <c r="AL20"/>
      <c r="AM20"/>
      <c r="AN20"/>
      <c r="AO20"/>
      <c r="AP20"/>
      <c r="AQ20"/>
      <c r="AR20"/>
      <c r="AS20"/>
    </row>
    <row r="21" spans="2:45" ht="13.5" thickBot="1" x14ac:dyDescent="0.25">
      <c r="B21" s="105"/>
      <c r="C21" s="163" t="s">
        <v>270</v>
      </c>
      <c r="D21" s="164"/>
      <c r="E21" s="164"/>
      <c r="F21" s="164"/>
      <c r="G21" s="164"/>
      <c r="H21" s="164"/>
      <c r="I21" s="164"/>
      <c r="J21" s="165"/>
      <c r="M21" s="105"/>
      <c r="N21" s="170" t="s">
        <v>276</v>
      </c>
      <c r="O21" s="109"/>
      <c r="P21" s="109"/>
      <c r="Q21" s="109"/>
      <c r="R21" s="109"/>
      <c r="S21" s="109"/>
      <c r="T21" s="169"/>
      <c r="V21" s="126"/>
      <c r="W21" s="127"/>
      <c r="X21" s="127"/>
      <c r="Y21" s="140" t="s">
        <v>268</v>
      </c>
      <c r="Z21" s="127">
        <v>0</v>
      </c>
      <c r="AA21" s="129" t="s">
        <v>52</v>
      </c>
      <c r="AC21" s="126"/>
      <c r="AD21" s="127"/>
      <c r="AE21" s="127"/>
      <c r="AF21" s="140" t="s">
        <v>268</v>
      </c>
      <c r="AG21" s="127">
        <v>0</v>
      </c>
      <c r="AH21" s="129" t="s">
        <v>52</v>
      </c>
      <c r="AK21"/>
      <c r="AL21"/>
      <c r="AM21"/>
      <c r="AN21"/>
      <c r="AO21"/>
      <c r="AP21"/>
      <c r="AQ21"/>
      <c r="AR21"/>
      <c r="AS21"/>
    </row>
    <row r="22" spans="2:45" ht="13.5" thickBot="1" x14ac:dyDescent="0.25">
      <c r="B22" s="105"/>
      <c r="C22" s="146"/>
      <c r="D22" s="109"/>
      <c r="E22" s="166" t="s">
        <v>271</v>
      </c>
      <c r="F22" s="166" t="s">
        <v>272</v>
      </c>
      <c r="G22" s="167" t="s">
        <v>273</v>
      </c>
      <c r="H22" s="166" t="s">
        <v>274</v>
      </c>
      <c r="I22" s="168" t="s">
        <v>275</v>
      </c>
      <c r="J22" s="169"/>
      <c r="M22" s="105"/>
      <c r="N22" s="113"/>
      <c r="O22" s="118"/>
      <c r="P22" s="118"/>
      <c r="Q22" s="114"/>
      <c r="R22" s="105"/>
      <c r="S22" s="118"/>
      <c r="T22" s="116"/>
      <c r="V22" s="105"/>
      <c r="W22" s="105"/>
      <c r="X22" s="105"/>
      <c r="Y22" s="105"/>
      <c r="Z22" s="105"/>
      <c r="AA22" s="105"/>
      <c r="AB22" s="105"/>
      <c r="AC22" s="105"/>
      <c r="AK22"/>
      <c r="AL22"/>
      <c r="AM22"/>
      <c r="AN22"/>
      <c r="AO22"/>
      <c r="AP22"/>
      <c r="AQ22"/>
      <c r="AR22"/>
      <c r="AS22"/>
    </row>
    <row r="23" spans="2:45" x14ac:dyDescent="0.2">
      <c r="B23" s="105"/>
      <c r="C23" s="171"/>
      <c r="D23" s="172" t="s">
        <v>277</v>
      </c>
      <c r="E23" s="173"/>
      <c r="F23" s="173"/>
      <c r="G23" s="174" t="str">
        <f>IF(H23&gt;0,(E19-I24)/H23,"")</f>
        <v/>
      </c>
      <c r="H23" s="175">
        <f>IF(ISNUMBER(VLOOKUP(E23,'Bar Sizes'!$D$8:$J$18,3)),VLOOKUP(E23,'Bar Sizes'!$D$8:$J$18,3),0)</f>
        <v>0</v>
      </c>
      <c r="I23" s="176">
        <f>F23*H23</f>
        <v>0</v>
      </c>
      <c r="J23" s="177"/>
      <c r="M23" s="105"/>
      <c r="N23" s="113"/>
      <c r="O23" s="118"/>
      <c r="P23" s="118"/>
      <c r="Q23" s="114"/>
      <c r="R23" s="179">
        <f>X24</f>
        <v>4.9375</v>
      </c>
      <c r="S23" s="118" t="s">
        <v>205</v>
      </c>
      <c r="T23" s="116"/>
      <c r="V23" s="106" t="s">
        <v>279</v>
      </c>
      <c r="W23" s="107"/>
      <c r="X23" s="107"/>
      <c r="Y23" s="107"/>
      <c r="Z23" s="107"/>
      <c r="AA23" s="107"/>
      <c r="AB23" s="108"/>
      <c r="AC23" s="105"/>
      <c r="AK23"/>
      <c r="AL23"/>
      <c r="AM23"/>
      <c r="AN23"/>
      <c r="AO23"/>
      <c r="AP23"/>
      <c r="AQ23"/>
      <c r="AR23"/>
      <c r="AS23"/>
    </row>
    <row r="24" spans="2:45" x14ac:dyDescent="0.2">
      <c r="B24" s="105"/>
      <c r="C24" s="117"/>
      <c r="D24" s="114" t="s">
        <v>278</v>
      </c>
      <c r="E24" s="634" t="str">
        <f>'Custom Design'!D33</f>
        <v># 5</v>
      </c>
      <c r="F24" s="634">
        <f>E3/'Custom Design'!F33</f>
        <v>2.2857142857142856</v>
      </c>
      <c r="G24" s="178">
        <f>IF(H24&gt;0,(E19-I23)/H24,"")</f>
        <v>1.167999154679247</v>
      </c>
      <c r="H24" s="125">
        <f>IF(ISNUMBER(VLOOKUP(E24,'Bar Sizes'!$D$8:$J$18,3)),VLOOKUP(E24,'Bar Sizes'!$D$8:$J$18,3),0)</f>
        <v>0.31</v>
      </c>
      <c r="I24" s="118">
        <f>F24*H24</f>
        <v>0.70857142857142852</v>
      </c>
      <c r="J24" s="116"/>
      <c r="M24" s="105"/>
      <c r="N24" s="113"/>
      <c r="O24" s="118"/>
      <c r="P24" s="114" t="s">
        <v>281</v>
      </c>
      <c r="Q24" s="179">
        <f>E16</f>
        <v>0.9</v>
      </c>
      <c r="R24" s="118"/>
      <c r="S24" s="118"/>
      <c r="T24" s="116"/>
      <c r="V24" s="113"/>
      <c r="W24" s="114" t="s">
        <v>282</v>
      </c>
      <c r="X24" s="118">
        <f>IF(Y29&gt;0,AA31,E4-E11-0.5)</f>
        <v>4.9375</v>
      </c>
      <c r="Y24" s="118"/>
      <c r="Z24" s="118"/>
      <c r="AA24" s="118"/>
      <c r="AB24" s="116"/>
      <c r="AC24" s="105"/>
      <c r="AK24"/>
      <c r="AL24"/>
      <c r="AM24"/>
      <c r="AN24"/>
      <c r="AO24"/>
      <c r="AP24"/>
      <c r="AQ24"/>
      <c r="AR24"/>
      <c r="AS24"/>
    </row>
    <row r="25" spans="2:45" x14ac:dyDescent="0.2">
      <c r="B25" s="105"/>
      <c r="C25" s="180"/>
      <c r="D25" s="181" t="s">
        <v>280</v>
      </c>
      <c r="E25" s="182">
        <v>1</v>
      </c>
      <c r="F25" s="183" t="s">
        <v>205</v>
      </c>
      <c r="G25" s="181"/>
      <c r="H25" s="181" t="s">
        <v>84</v>
      </c>
      <c r="I25" s="183">
        <f>SUM(I23:I24)</f>
        <v>0.70857142857142852</v>
      </c>
      <c r="J25" s="184"/>
      <c r="M25" s="105"/>
      <c r="N25" s="113"/>
      <c r="O25" s="118"/>
      <c r="P25" s="118"/>
      <c r="Q25" s="118"/>
      <c r="R25" s="118"/>
      <c r="S25" s="118"/>
      <c r="T25" s="116"/>
      <c r="V25" s="113"/>
      <c r="W25" s="114" t="s">
        <v>284</v>
      </c>
      <c r="X25" s="118">
        <f>IF(Y29&gt;0,AA32,X24)</f>
        <v>4.9375</v>
      </c>
      <c r="Y25" s="118"/>
      <c r="Z25" s="118"/>
      <c r="AA25" s="118"/>
      <c r="AB25" s="116"/>
      <c r="AC25" s="105"/>
      <c r="AK25"/>
      <c r="AL25"/>
      <c r="AM25"/>
      <c r="AN25"/>
      <c r="AO25"/>
      <c r="AP25"/>
      <c r="AQ25"/>
      <c r="AR25"/>
      <c r="AS25"/>
    </row>
    <row r="26" spans="2:45" ht="15.75" x14ac:dyDescent="0.3">
      <c r="B26" s="105"/>
      <c r="C26" s="171"/>
      <c r="D26" s="185" t="s">
        <v>283</v>
      </c>
      <c r="E26" s="186">
        <f>AA31</f>
        <v>4.9375</v>
      </c>
      <c r="F26" s="187" t="s">
        <v>205</v>
      </c>
      <c r="H26" s="188" t="s">
        <v>323</v>
      </c>
      <c r="I26" s="186">
        <f>AA32</f>
        <v>4.9375</v>
      </c>
      <c r="J26" s="189"/>
      <c r="M26" s="105"/>
      <c r="N26" s="113"/>
      <c r="O26" s="118"/>
      <c r="P26" s="192" t="s">
        <v>286</v>
      </c>
      <c r="Q26" s="118"/>
      <c r="R26" s="118"/>
      <c r="S26" s="118"/>
      <c r="T26" s="116"/>
      <c r="V26" s="113"/>
      <c r="W26" s="118"/>
      <c r="X26" s="118"/>
      <c r="Y26" s="118"/>
      <c r="Z26" s="118"/>
      <c r="AA26" s="118"/>
      <c r="AB26" s="116"/>
      <c r="AC26" s="105"/>
      <c r="AK26"/>
      <c r="AL26"/>
      <c r="AM26"/>
      <c r="AN26"/>
      <c r="AO26"/>
      <c r="AP26"/>
      <c r="AQ26"/>
      <c r="AR26"/>
      <c r="AS26"/>
    </row>
    <row r="27" spans="2:45" ht="13.5" thickBot="1" x14ac:dyDescent="0.25">
      <c r="B27" s="105"/>
      <c r="C27" s="126"/>
      <c r="D27" s="160"/>
      <c r="E27" s="160"/>
      <c r="F27" s="160"/>
      <c r="G27" s="190" t="s">
        <v>285</v>
      </c>
      <c r="H27" s="191">
        <f>I25/E19</f>
        <v>1.9569485787359007</v>
      </c>
      <c r="I27" s="160"/>
      <c r="J27" s="129"/>
      <c r="M27" s="105"/>
      <c r="N27" s="113"/>
      <c r="O27" s="118"/>
      <c r="P27" s="125" t="s">
        <v>1</v>
      </c>
      <c r="Q27" s="118">
        <f>E6*E6/0.85/E5/E3/2</f>
        <v>44.117647058823529</v>
      </c>
      <c r="R27" s="118"/>
      <c r="S27" s="118"/>
      <c r="T27" s="116"/>
      <c r="V27" s="113"/>
      <c r="W27" s="118"/>
      <c r="X27" s="118" t="s">
        <v>242</v>
      </c>
      <c r="Y27" s="118" t="s">
        <v>287</v>
      </c>
      <c r="Z27" s="118" t="s">
        <v>288</v>
      </c>
      <c r="AA27" s="118"/>
      <c r="AB27" s="116"/>
      <c r="AC27" s="105"/>
      <c r="AK27"/>
      <c r="AL27"/>
      <c r="AM27"/>
      <c r="AN27"/>
      <c r="AO27"/>
      <c r="AP27"/>
      <c r="AQ27"/>
      <c r="AR27"/>
      <c r="AS27"/>
    </row>
    <row r="28" spans="2:45" ht="13.5" thickBot="1" x14ac:dyDescent="0.25">
      <c r="B28" s="105"/>
      <c r="C28" s="105"/>
      <c r="D28" s="105"/>
      <c r="E28" s="105"/>
      <c r="F28" s="105"/>
      <c r="G28" s="105"/>
      <c r="H28" s="105"/>
      <c r="I28" s="105"/>
      <c r="J28" s="105"/>
      <c r="M28" s="105"/>
      <c r="N28" s="113"/>
      <c r="O28" s="118"/>
      <c r="P28" s="125" t="s">
        <v>253</v>
      </c>
      <c r="Q28" s="193">
        <f>-E6*R23</f>
        <v>-296.25</v>
      </c>
      <c r="R28" s="118"/>
      <c r="S28" s="118"/>
      <c r="T28" s="116"/>
      <c r="V28" s="113"/>
      <c r="W28" s="114" t="str">
        <f>D23</f>
        <v>2nd Layer</v>
      </c>
      <c r="X28" s="118">
        <f>I23</f>
        <v>0</v>
      </c>
      <c r="Y28" s="118">
        <f>IF(ISNUMBER(VLOOKUP(E23,'Bar Sizes'!$D$8:$J$18,7)),VLOOKUP(E23,'Bar Sizes'!$D$8:$J$18,7),0)</f>
        <v>0</v>
      </c>
      <c r="Z28" s="118">
        <f>E4-E11-Y29-E25-Y28/2</f>
        <v>3.625</v>
      </c>
      <c r="AA28" s="118">
        <f>Z28*X28</f>
        <v>0</v>
      </c>
      <c r="AB28" s="116"/>
      <c r="AC28" s="105"/>
      <c r="AK28"/>
      <c r="AL28"/>
      <c r="AM28"/>
      <c r="AN28"/>
      <c r="AO28"/>
      <c r="AP28"/>
      <c r="AQ28"/>
      <c r="AR28"/>
      <c r="AS28"/>
    </row>
    <row r="29" spans="2:45" x14ac:dyDescent="0.2">
      <c r="C29" s="106" t="s">
        <v>289</v>
      </c>
      <c r="D29" s="107"/>
      <c r="E29" s="107"/>
      <c r="F29" s="107"/>
      <c r="G29" s="107"/>
      <c r="H29" s="107"/>
      <c r="I29" s="107"/>
      <c r="J29" s="108"/>
      <c r="M29" s="105"/>
      <c r="N29" s="113"/>
      <c r="O29" s="118"/>
      <c r="P29" s="125" t="s">
        <v>254</v>
      </c>
      <c r="Q29" s="118">
        <f>E7/Q24</f>
        <v>101.48222222222221</v>
      </c>
      <c r="R29" s="118"/>
      <c r="S29" s="118"/>
      <c r="T29" s="116"/>
      <c r="V29" s="113"/>
      <c r="W29" s="114" t="str">
        <f>D24</f>
        <v>Bottom Layer</v>
      </c>
      <c r="X29" s="118">
        <f>I24</f>
        <v>0.70857142857142852</v>
      </c>
      <c r="Y29" s="118">
        <f>IF(ISNUMBER(VLOOKUP(E24,'Bar Sizes'!$D$8:$J$18,7)),VLOOKUP(E24,'Bar Sizes'!$D$8:$J$18,7),0)</f>
        <v>0.625</v>
      </c>
      <c r="Z29" s="118">
        <f>E4-E11-Y29/2</f>
        <v>4.9375</v>
      </c>
      <c r="AA29" s="118">
        <f>Z29*X29</f>
        <v>3.4985714285714282</v>
      </c>
      <c r="AB29" s="116"/>
      <c r="AC29" s="105"/>
    </row>
    <row r="30" spans="2:45" x14ac:dyDescent="0.2">
      <c r="C30" s="113"/>
      <c r="D30" s="114" t="s">
        <v>290</v>
      </c>
      <c r="E30" s="178">
        <f>I25*E6*(AA31-I25*E6/(0.85*E5*E3*2))</f>
        <v>187.76398559423768</v>
      </c>
      <c r="F30" s="119" t="s">
        <v>251</v>
      </c>
      <c r="G30" s="119"/>
      <c r="H30" s="118"/>
      <c r="I30" s="114" t="s">
        <v>291</v>
      </c>
      <c r="J30" s="194">
        <f>Z35</f>
        <v>9.082938508064518E-3</v>
      </c>
      <c r="K30" s="198"/>
      <c r="M30" s="105"/>
      <c r="N30" s="113"/>
      <c r="O30" s="118"/>
      <c r="P30" s="125" t="s">
        <v>257</v>
      </c>
      <c r="Q30" s="118">
        <f>(-Q28-SQRT(Q28*Q28-4*Q27*Q29))/2/Q27</f>
        <v>0.36207973795056653</v>
      </c>
      <c r="R30" s="118"/>
      <c r="S30" s="118"/>
      <c r="T30" s="116"/>
      <c r="U30" s="105"/>
      <c r="V30" s="113"/>
      <c r="W30" s="118"/>
      <c r="X30" s="118">
        <f>I25</f>
        <v>0.70857142857142852</v>
      </c>
      <c r="Y30" s="118"/>
      <c r="Z30" s="118"/>
      <c r="AA30" s="118">
        <f>SUM(AA28:AA29)</f>
        <v>3.4985714285714282</v>
      </c>
      <c r="AB30" s="116"/>
      <c r="AC30" s="105"/>
      <c r="AD30" s="105"/>
      <c r="AE30" s="105"/>
      <c r="AF30" s="105"/>
      <c r="AH30" s="105"/>
    </row>
    <row r="31" spans="2:45" x14ac:dyDescent="0.2">
      <c r="C31" s="113"/>
      <c r="D31" s="114" t="s">
        <v>292</v>
      </c>
      <c r="E31" s="195">
        <f>Z36</f>
        <v>0.9</v>
      </c>
      <c r="F31" s="119"/>
      <c r="G31" s="119"/>
      <c r="H31" s="192"/>
      <c r="I31" s="196" t="str">
        <f>IF(Z35&gt;=0.005,"Tension Controlled, OK",IF(Z35&lt;0.004,"Over-Reinforced, NG","Transition Zone, OK"))</f>
        <v>Tension Controlled, OK</v>
      </c>
      <c r="J31" s="197"/>
      <c r="K31" s="198"/>
      <c r="M31" s="105"/>
      <c r="N31" s="113"/>
      <c r="O31" s="118"/>
      <c r="P31" s="125" t="s">
        <v>260</v>
      </c>
      <c r="Q31" s="118">
        <f>(-Q28+SQRT(Q28*Q28-4*Q27*Q29))/2/Q27</f>
        <v>6.3529202620494338</v>
      </c>
      <c r="R31" s="114" t="s">
        <v>295</v>
      </c>
      <c r="S31" s="192">
        <f>MIN(Q30:Q31)</f>
        <v>0.36207973795056653</v>
      </c>
      <c r="T31" s="116"/>
      <c r="U31" s="105"/>
      <c r="V31" s="113"/>
      <c r="W31" s="118"/>
      <c r="X31" s="118"/>
      <c r="Y31" s="118"/>
      <c r="Z31" s="114" t="s">
        <v>283</v>
      </c>
      <c r="AA31" s="118">
        <f>AA30/X30</f>
        <v>4.9375</v>
      </c>
      <c r="AB31" s="116"/>
      <c r="AC31" s="105"/>
      <c r="AD31" s="105"/>
      <c r="AE31" s="105"/>
      <c r="AF31" s="105"/>
      <c r="AH31" s="105"/>
    </row>
    <row r="32" spans="2:45" ht="13.5" thickBot="1" x14ac:dyDescent="0.25">
      <c r="C32" s="138"/>
      <c r="D32" s="190" t="s">
        <v>293</v>
      </c>
      <c r="E32" s="199">
        <f>E30*Z36</f>
        <v>168.98758703481391</v>
      </c>
      <c r="F32" s="200" t="s">
        <v>251</v>
      </c>
      <c r="G32" s="127"/>
      <c r="H32" s="200"/>
      <c r="I32" s="128" t="s">
        <v>294</v>
      </c>
      <c r="J32" s="201">
        <f>E32/E7</f>
        <v>1.850215549902708</v>
      </c>
      <c r="K32" s="198"/>
      <c r="M32" s="105"/>
      <c r="N32" s="113"/>
      <c r="O32" s="118"/>
      <c r="P32" s="118"/>
      <c r="Q32" s="118"/>
      <c r="R32" s="118"/>
      <c r="S32" s="118"/>
      <c r="T32" s="116"/>
      <c r="U32" s="105"/>
      <c r="V32" s="138"/>
      <c r="W32" s="160"/>
      <c r="X32" s="160"/>
      <c r="Y32" s="160"/>
      <c r="Z32" s="128" t="s">
        <v>296</v>
      </c>
      <c r="AA32" s="160">
        <f>MAX(Z28:Z29)</f>
        <v>4.9375</v>
      </c>
      <c r="AB32" s="129"/>
      <c r="AC32" s="105"/>
      <c r="AD32" s="105"/>
      <c r="AE32" s="105"/>
      <c r="AF32" s="105"/>
      <c r="AH32" s="105"/>
    </row>
    <row r="33" spans="2:34" ht="13.5" thickBot="1" x14ac:dyDescent="0.25">
      <c r="C33"/>
      <c r="D33"/>
      <c r="E33"/>
      <c r="F33"/>
      <c r="G33"/>
      <c r="H33"/>
      <c r="I33"/>
      <c r="J33"/>
      <c r="K33"/>
      <c r="M33" s="105"/>
      <c r="N33" s="113"/>
      <c r="O33" s="192" t="s">
        <v>297</v>
      </c>
      <c r="P33" s="118"/>
      <c r="Q33" s="118"/>
      <c r="R33" s="118"/>
      <c r="S33" s="118"/>
      <c r="T33" s="116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H33" s="105"/>
    </row>
    <row r="34" spans="2:34" x14ac:dyDescent="0.2">
      <c r="C34"/>
      <c r="D34"/>
      <c r="E34"/>
      <c r="F34"/>
      <c r="G34"/>
      <c r="H34"/>
      <c r="I34"/>
      <c r="J34"/>
      <c r="K34"/>
      <c r="M34" s="105"/>
      <c r="N34" s="113"/>
      <c r="O34" s="118"/>
      <c r="P34" s="114" t="s">
        <v>290</v>
      </c>
      <c r="Q34" s="118">
        <f>S31*E6*(R23-S31*E6/(0.85*E5*E3*2))</f>
        <v>101.48222222222219</v>
      </c>
      <c r="R34" s="118"/>
      <c r="S34" s="118"/>
      <c r="T34" s="116"/>
      <c r="U34" s="105"/>
      <c r="V34" s="202"/>
      <c r="W34" s="203" t="s">
        <v>298</v>
      </c>
      <c r="X34" s="107"/>
      <c r="Y34" s="107"/>
      <c r="Z34" s="107"/>
      <c r="AA34" s="107"/>
      <c r="AB34" s="107"/>
      <c r="AC34" s="107"/>
      <c r="AD34" s="107"/>
      <c r="AE34" s="108"/>
      <c r="AF34" s="105"/>
      <c r="AG34" s="105"/>
      <c r="AH34" s="105"/>
    </row>
    <row r="35" spans="2:34" x14ac:dyDescent="0.2">
      <c r="C35"/>
      <c r="D35"/>
      <c r="E35"/>
      <c r="F35"/>
      <c r="G35"/>
      <c r="H35"/>
      <c r="I35"/>
      <c r="J35"/>
      <c r="K35"/>
      <c r="M35" s="105"/>
      <c r="N35" s="113"/>
      <c r="O35" s="118"/>
      <c r="P35" s="114" t="s">
        <v>293</v>
      </c>
      <c r="Q35" s="118">
        <f>Q34*Q24</f>
        <v>91.333999999999975</v>
      </c>
      <c r="R35" s="118" t="s">
        <v>299</v>
      </c>
      <c r="S35" s="118"/>
      <c r="T35" s="116"/>
      <c r="U35" s="105"/>
      <c r="V35" s="113"/>
      <c r="W35" s="109"/>
      <c r="X35" s="109"/>
      <c r="Y35" s="114" t="s">
        <v>300</v>
      </c>
      <c r="Z35" s="204">
        <f>0.003*(R39/(I25*E6/(0.85*E5*E3*R40))-1)</f>
        <v>9.082938508064518E-3</v>
      </c>
      <c r="AA35" s="118"/>
      <c r="AB35" s="118"/>
      <c r="AC35" s="118"/>
      <c r="AD35" s="118">
        <f>R47+(R46-R47)/(Q46-Q47)*(Z35-Q47)</f>
        <v>1.2482506374525619</v>
      </c>
      <c r="AE35" s="116"/>
      <c r="AF35" s="105"/>
      <c r="AG35" s="105"/>
      <c r="AH35" s="105"/>
    </row>
    <row r="36" spans="2:34" x14ac:dyDescent="0.2">
      <c r="C36"/>
      <c r="D36"/>
      <c r="E36"/>
      <c r="F36"/>
      <c r="G36"/>
      <c r="H36"/>
      <c r="I36"/>
      <c r="J36"/>
      <c r="K36"/>
      <c r="M36" s="105"/>
      <c r="N36" s="113"/>
      <c r="O36" s="118"/>
      <c r="P36" s="118" t="s">
        <v>301</v>
      </c>
      <c r="Q36" s="118"/>
      <c r="R36" s="118"/>
      <c r="S36" s="118"/>
      <c r="T36" s="116"/>
      <c r="U36" s="105"/>
      <c r="V36" s="113"/>
      <c r="W36" s="109"/>
      <c r="X36" s="109"/>
      <c r="Y36" s="114" t="s">
        <v>292</v>
      </c>
      <c r="Z36" s="153">
        <f>IF(AD35&gt;R46,R46,IF(AD35&lt;R47,R47,AD35))</f>
        <v>0.9</v>
      </c>
      <c r="AA36" s="192" t="str">
        <f>IF(Z36=Q24,"Phi Matches","Phi Doesn't Match, Error = "&amp;TEXT(Z36-Q24,"0.0000###"))</f>
        <v>Phi Matches</v>
      </c>
      <c r="AB36" s="118"/>
      <c r="AC36" s="114" t="s">
        <v>302</v>
      </c>
      <c r="AD36" s="118" t="b">
        <f>IF(Z35&gt;=0.004,TRUE,FALSE)</f>
        <v>1</v>
      </c>
      <c r="AE36" s="116" t="s">
        <v>303</v>
      </c>
      <c r="AF36" s="105"/>
      <c r="AG36" s="105"/>
      <c r="AH36" s="105"/>
    </row>
    <row r="37" spans="2:34" ht="13.5" thickBot="1" x14ac:dyDescent="0.25">
      <c r="C37"/>
      <c r="D37"/>
      <c r="E37"/>
      <c r="F37"/>
      <c r="G37"/>
      <c r="H37"/>
      <c r="I37"/>
      <c r="J37"/>
      <c r="K37"/>
      <c r="M37" s="105"/>
      <c r="N37" s="113"/>
      <c r="O37" s="118"/>
      <c r="P37" s="118"/>
      <c r="Q37" s="192" t="str">
        <f>G17</f>
        <v>Tension Controlled, OK</v>
      </c>
      <c r="R37" s="118"/>
      <c r="S37" s="118"/>
      <c r="T37" s="116"/>
      <c r="U37" s="105"/>
      <c r="V37" s="138"/>
      <c r="W37" s="224"/>
      <c r="X37" s="224"/>
      <c r="Y37" s="160"/>
      <c r="Z37" s="224" t="str">
        <f>I31</f>
        <v>Tension Controlled, OK</v>
      </c>
      <c r="AA37" s="160"/>
      <c r="AB37" s="160"/>
      <c r="AC37" s="160"/>
      <c r="AD37" s="160"/>
      <c r="AE37" s="129"/>
      <c r="AF37" s="105"/>
      <c r="AG37" s="105"/>
      <c r="AH37" s="105"/>
    </row>
    <row r="38" spans="2:34" x14ac:dyDescent="0.2">
      <c r="C38"/>
      <c r="D38"/>
      <c r="E38"/>
      <c r="F38"/>
      <c r="G38"/>
      <c r="H38"/>
      <c r="I38"/>
      <c r="J38"/>
      <c r="K38"/>
      <c r="M38" s="105"/>
      <c r="N38" s="113"/>
      <c r="O38" s="192" t="s">
        <v>304</v>
      </c>
      <c r="P38" s="118"/>
      <c r="Q38" s="118"/>
      <c r="R38" s="118"/>
      <c r="S38" s="118"/>
      <c r="T38" s="116"/>
      <c r="U38" s="105"/>
      <c r="V38"/>
      <c r="W38"/>
      <c r="X38"/>
      <c r="Y38"/>
      <c r="Z38"/>
      <c r="AA38"/>
      <c r="AB38"/>
      <c r="AC38"/>
      <c r="AD38"/>
      <c r="AE38"/>
      <c r="AF38"/>
      <c r="AG38"/>
    </row>
    <row r="39" spans="2:34" x14ac:dyDescent="0.2">
      <c r="C39"/>
      <c r="D39"/>
      <c r="E39"/>
      <c r="F39"/>
      <c r="G39"/>
      <c r="H39"/>
      <c r="I39"/>
      <c r="J39"/>
      <c r="K39"/>
      <c r="M39" s="105"/>
      <c r="N39" s="113"/>
      <c r="O39" s="118"/>
      <c r="P39" s="118"/>
      <c r="Q39" s="114" t="s">
        <v>305</v>
      </c>
      <c r="R39" s="179">
        <f>X25</f>
        <v>4.9375</v>
      </c>
      <c r="S39" s="118" t="s">
        <v>205</v>
      </c>
      <c r="T39" s="116"/>
      <c r="U39" s="105"/>
      <c r="V39"/>
      <c r="W39"/>
      <c r="X39"/>
      <c r="Y39"/>
      <c r="Z39"/>
      <c r="AA39"/>
      <c r="AB39"/>
      <c r="AC39"/>
      <c r="AD39"/>
      <c r="AE39"/>
      <c r="AF39"/>
      <c r="AG39"/>
    </row>
    <row r="40" spans="2:34" x14ac:dyDescent="0.2">
      <c r="C40"/>
      <c r="D40"/>
      <c r="E40"/>
      <c r="F40"/>
      <c r="G40"/>
      <c r="H40"/>
      <c r="I40"/>
      <c r="J40"/>
      <c r="K40"/>
      <c r="M40" s="105"/>
      <c r="N40" s="113"/>
      <c r="O40" s="118"/>
      <c r="P40" s="118"/>
      <c r="Q40" s="114" t="s">
        <v>306</v>
      </c>
      <c r="R40" s="118">
        <f>IF(E5&lt;=4,0.85,IF(E5&gt;=8,0.65,0.65+(8-E5)/20))</f>
        <v>0.85</v>
      </c>
      <c r="S40" s="118"/>
      <c r="T40" s="116"/>
      <c r="U40" s="105"/>
      <c r="V40"/>
      <c r="W40"/>
      <c r="X40"/>
      <c r="Y40"/>
      <c r="Z40"/>
      <c r="AA40"/>
      <c r="AB40"/>
      <c r="AC40"/>
      <c r="AD40"/>
      <c r="AE40"/>
      <c r="AF40"/>
      <c r="AG40"/>
    </row>
    <row r="41" spans="2:34" x14ac:dyDescent="0.2">
      <c r="C41"/>
      <c r="D41"/>
      <c r="E41"/>
      <c r="F41"/>
      <c r="G41"/>
      <c r="H41"/>
      <c r="I41"/>
      <c r="J41"/>
      <c r="K41"/>
      <c r="M41" s="105"/>
      <c r="N41" s="113"/>
      <c r="O41" s="118"/>
      <c r="P41" s="118"/>
      <c r="Q41" s="114" t="s">
        <v>307</v>
      </c>
      <c r="R41" s="118">
        <f>S31*E6/(0.85*E5*E3*R40)</f>
        <v>0.62643553278644726</v>
      </c>
      <c r="S41" s="118" t="s">
        <v>205</v>
      </c>
      <c r="T41" s="116"/>
      <c r="U41" s="105"/>
      <c r="V41"/>
      <c r="W41"/>
      <c r="X41"/>
      <c r="Y41"/>
      <c r="Z41"/>
      <c r="AA41"/>
      <c r="AB41"/>
      <c r="AC41"/>
      <c r="AD41"/>
      <c r="AE41"/>
      <c r="AF41"/>
      <c r="AG41"/>
    </row>
    <row r="42" spans="2:34" x14ac:dyDescent="0.2">
      <c r="C42"/>
      <c r="D42"/>
      <c r="E42"/>
      <c r="F42"/>
      <c r="G42"/>
      <c r="H42"/>
      <c r="I42"/>
      <c r="J42"/>
      <c r="K42"/>
      <c r="M42" s="105"/>
      <c r="N42" s="113"/>
      <c r="O42" s="118"/>
      <c r="P42" s="118"/>
      <c r="Q42" s="114" t="s">
        <v>300</v>
      </c>
      <c r="R42" s="204">
        <f>0.003*(R39/R41-1)</f>
        <v>2.0645689340310143E-2</v>
      </c>
      <c r="S42" s="118"/>
      <c r="T42" s="116"/>
      <c r="U42" s="105"/>
      <c r="V42"/>
      <c r="W42"/>
      <c r="X42"/>
      <c r="Y42"/>
      <c r="Z42"/>
      <c r="AA42"/>
      <c r="AB42"/>
      <c r="AC42"/>
      <c r="AD42"/>
      <c r="AE42"/>
      <c r="AF42"/>
      <c r="AG42"/>
    </row>
    <row r="43" spans="2:34" x14ac:dyDescent="0.2">
      <c r="B43"/>
      <c r="C43"/>
      <c r="D43"/>
      <c r="E43"/>
      <c r="F43"/>
      <c r="G43"/>
      <c r="H43"/>
      <c r="I43"/>
      <c r="J43"/>
      <c r="K43"/>
      <c r="M43" s="105"/>
      <c r="N43" s="113"/>
      <c r="O43" s="118"/>
      <c r="P43" s="118"/>
      <c r="Q43" s="118"/>
      <c r="R43" s="105"/>
      <c r="S43" s="118"/>
      <c r="T43" s="116"/>
      <c r="U43" s="105"/>
      <c r="V43"/>
      <c r="W43"/>
      <c r="X43"/>
      <c r="Y43"/>
      <c r="Z43"/>
      <c r="AA43"/>
      <c r="AB43"/>
      <c r="AC43"/>
      <c r="AD43"/>
      <c r="AE43"/>
      <c r="AF43"/>
      <c r="AG43"/>
    </row>
    <row r="44" spans="2:34" ht="13.5" thickBot="1" x14ac:dyDescent="0.25">
      <c r="B44"/>
      <c r="C44"/>
      <c r="D44"/>
      <c r="E44"/>
      <c r="H44"/>
      <c r="I44"/>
      <c r="J44"/>
      <c r="K44"/>
      <c r="M44" s="105"/>
      <c r="N44" s="113"/>
      <c r="O44" s="118"/>
      <c r="P44" s="118"/>
      <c r="Q44" s="114" t="s">
        <v>308</v>
      </c>
      <c r="R44" s="118"/>
      <c r="S44" s="118"/>
      <c r="T44" s="116"/>
      <c r="U44" s="105"/>
      <c r="V44"/>
      <c r="W44"/>
      <c r="X44"/>
      <c r="Y44"/>
      <c r="Z44"/>
      <c r="AA44"/>
      <c r="AB44"/>
      <c r="AC44"/>
      <c r="AD44"/>
      <c r="AE44"/>
      <c r="AF44"/>
      <c r="AG44"/>
    </row>
    <row r="45" spans="2:34" x14ac:dyDescent="0.2">
      <c r="B45"/>
      <c r="C45" s="72" t="s">
        <v>344</v>
      </c>
      <c r="D45" s="4"/>
      <c r="E45" s="4"/>
      <c r="F45" s="4"/>
      <c r="G45" s="4"/>
      <c r="H45" s="4"/>
      <c r="I45" s="4"/>
      <c r="J45" s="5"/>
      <c r="K45"/>
      <c r="M45" s="105"/>
      <c r="N45" s="113"/>
      <c r="O45" s="118"/>
      <c r="P45" s="118"/>
      <c r="Q45" s="118" t="s">
        <v>309</v>
      </c>
      <c r="R45" s="118" t="s">
        <v>310</v>
      </c>
      <c r="S45" s="118"/>
      <c r="T45" s="116"/>
      <c r="U45" s="105"/>
      <c r="V45"/>
      <c r="W45"/>
      <c r="X45"/>
      <c r="Y45"/>
      <c r="Z45"/>
      <c r="AA45"/>
      <c r="AB45"/>
      <c r="AC45"/>
      <c r="AD45"/>
      <c r="AE45"/>
      <c r="AF45"/>
      <c r="AG45"/>
    </row>
    <row r="46" spans="2:34" x14ac:dyDescent="0.2">
      <c r="B46"/>
      <c r="C46" s="37"/>
      <c r="D46" s="38" t="s">
        <v>349</v>
      </c>
      <c r="E46" s="38"/>
      <c r="F46" s="38"/>
      <c r="G46" s="38"/>
      <c r="H46" s="38"/>
      <c r="I46" s="38"/>
      <c r="J46" s="7"/>
      <c r="K46"/>
      <c r="M46" s="105"/>
      <c r="N46" s="113"/>
      <c r="O46" s="118"/>
      <c r="P46" s="114" t="s">
        <v>311</v>
      </c>
      <c r="Q46" s="118">
        <v>5.0000000000000001E-3</v>
      </c>
      <c r="R46" s="118">
        <v>0.9</v>
      </c>
      <c r="S46" s="118"/>
      <c r="T46" s="116"/>
      <c r="U46" s="105"/>
      <c r="V46"/>
      <c r="W46"/>
      <c r="X46"/>
      <c r="Y46"/>
      <c r="Z46"/>
      <c r="AA46"/>
      <c r="AB46"/>
      <c r="AC46"/>
      <c r="AD46"/>
      <c r="AE46"/>
      <c r="AF46"/>
      <c r="AG46"/>
    </row>
    <row r="47" spans="2:34" x14ac:dyDescent="0.2">
      <c r="B47"/>
      <c r="C47" s="37"/>
      <c r="D47" s="43" t="s">
        <v>345</v>
      </c>
      <c r="E47" s="58">
        <f>E4-AA31</f>
        <v>2.8125</v>
      </c>
      <c r="F47" s="38" t="s">
        <v>204</v>
      </c>
      <c r="G47" s="38"/>
      <c r="H47" s="38"/>
      <c r="I47" s="38"/>
      <c r="J47" s="7"/>
      <c r="K47"/>
      <c r="M47" s="105"/>
      <c r="N47" s="113"/>
      <c r="O47" s="118"/>
      <c r="P47" s="114" t="s">
        <v>312</v>
      </c>
      <c r="Q47" s="118">
        <f>E6/29000</f>
        <v>2.0689655172413794E-3</v>
      </c>
      <c r="R47" s="118">
        <v>0.65</v>
      </c>
      <c r="S47" s="118"/>
      <c r="T47" s="116"/>
      <c r="U47" s="105"/>
      <c r="V47"/>
      <c r="W47"/>
      <c r="X47"/>
      <c r="Y47"/>
      <c r="Z47"/>
      <c r="AA47"/>
      <c r="AB47"/>
      <c r="AC47"/>
      <c r="AD47"/>
      <c r="AE47"/>
      <c r="AF47"/>
      <c r="AG47"/>
    </row>
    <row r="48" spans="2:34" x14ac:dyDescent="0.2">
      <c r="B48"/>
      <c r="C48" s="37"/>
      <c r="D48" s="43" t="s">
        <v>346</v>
      </c>
      <c r="E48" s="38">
        <f>'Custom Design'!F13</f>
        <v>0.75</v>
      </c>
      <c r="F48" s="38" t="str">
        <f>'Custom Design'!G13</f>
        <v>Class 2</v>
      </c>
      <c r="G48" s="38"/>
      <c r="H48" s="673" t="s">
        <v>585</v>
      </c>
      <c r="I48" s="674">
        <f>E3/F24</f>
        <v>5.25</v>
      </c>
      <c r="J48" s="7"/>
      <c r="K48"/>
      <c r="M48" s="105"/>
      <c r="N48" s="113"/>
      <c r="O48" s="118"/>
      <c r="P48" s="114" t="s">
        <v>313</v>
      </c>
      <c r="Q48" s="118">
        <f>R42</f>
        <v>2.0645689340310143E-2</v>
      </c>
      <c r="R48" s="118">
        <f>R47+(R46-R47)/(Q46-Q47)*(Q48-Q47)</f>
        <v>2.2344852672617472</v>
      </c>
      <c r="S48" s="118"/>
      <c r="T48" s="116"/>
      <c r="U48" s="105"/>
      <c r="V48"/>
      <c r="W48"/>
      <c r="X48"/>
      <c r="Y48"/>
      <c r="Z48"/>
      <c r="AA48"/>
      <c r="AB48"/>
      <c r="AC48"/>
      <c r="AD48"/>
      <c r="AE48"/>
      <c r="AF48"/>
      <c r="AG48"/>
    </row>
    <row r="49" spans="2:34" x14ac:dyDescent="0.2">
      <c r="B49"/>
      <c r="C49" s="37"/>
      <c r="D49" s="43" t="s">
        <v>347</v>
      </c>
      <c r="E49" s="38">
        <f>Z19+AG19</f>
        <v>17.649999999999999</v>
      </c>
      <c r="F49" s="38" t="s">
        <v>52</v>
      </c>
      <c r="G49" s="38"/>
      <c r="H49" s="673" t="s">
        <v>584</v>
      </c>
      <c r="I49" s="96">
        <f>700*E48/E52/(I48+2*E47)</f>
        <v>26.616701619280089</v>
      </c>
      <c r="J49" s="7"/>
      <c r="K49"/>
      <c r="M49" s="105"/>
      <c r="N49" s="113"/>
      <c r="O49" s="118"/>
      <c r="P49" s="118"/>
      <c r="Q49" s="114" t="s">
        <v>314</v>
      </c>
      <c r="R49" s="118">
        <f>IF(R48&gt;R46,R46,IF(R48&lt;R47,R47,R48))</f>
        <v>0.9</v>
      </c>
      <c r="S49" s="118"/>
      <c r="T49" s="116"/>
      <c r="U49" s="105"/>
      <c r="V49"/>
      <c r="W49"/>
      <c r="X49"/>
      <c r="Y49"/>
      <c r="Z49"/>
      <c r="AA49"/>
      <c r="AB49"/>
      <c r="AC49"/>
      <c r="AD49"/>
      <c r="AE49"/>
      <c r="AF49"/>
      <c r="AG49"/>
    </row>
    <row r="50" spans="2:34" ht="13.5" thickBot="1" x14ac:dyDescent="0.25">
      <c r="B50"/>
      <c r="C50" s="37"/>
      <c r="D50" s="43" t="s">
        <v>348</v>
      </c>
      <c r="E50" s="149">
        <f>E4</f>
        <v>7.75</v>
      </c>
      <c r="F50" s="38" t="s">
        <v>204</v>
      </c>
      <c r="G50" s="38"/>
      <c r="H50" s="38"/>
      <c r="I50" s="38"/>
      <c r="J50" s="7"/>
      <c r="K50"/>
      <c r="M50" s="105"/>
      <c r="N50" s="206"/>
      <c r="O50" s="207"/>
      <c r="P50" s="207"/>
      <c r="Q50" s="207"/>
      <c r="R50" s="208" t="str">
        <f>IF(R49=Q24,"Phi Matches","Phi Doesn't Match, Error = "&amp;TEXT(R49-Q24,"0.0000###"))</f>
        <v>Phi Matches</v>
      </c>
      <c r="S50" s="207"/>
      <c r="T50" s="209"/>
      <c r="U50" s="105"/>
      <c r="V50"/>
      <c r="W50"/>
      <c r="X50"/>
      <c r="Y50"/>
      <c r="Z50"/>
      <c r="AA50"/>
      <c r="AB50"/>
      <c r="AC50"/>
      <c r="AD50"/>
      <c r="AE50"/>
      <c r="AF50"/>
      <c r="AG50"/>
      <c r="AH50" s="105"/>
    </row>
    <row r="51" spans="2:34" ht="14.25" x14ac:dyDescent="0.25">
      <c r="B51"/>
      <c r="C51" s="37"/>
      <c r="D51" s="38"/>
      <c r="E51" s="38"/>
      <c r="F51" s="38"/>
      <c r="G51" s="38"/>
      <c r="H51" s="38"/>
      <c r="I51" s="38"/>
      <c r="J51" s="7"/>
      <c r="K51"/>
      <c r="M51" s="105"/>
      <c r="N51" s="202"/>
      <c r="O51" s="107"/>
      <c r="P51" s="205" t="s">
        <v>324</v>
      </c>
      <c r="Q51" s="107"/>
      <c r="R51" s="107"/>
      <c r="S51" s="107"/>
      <c r="T51" s="108"/>
      <c r="U51" s="105"/>
      <c r="V51"/>
      <c r="W51"/>
      <c r="X51"/>
      <c r="Y51"/>
      <c r="Z51"/>
      <c r="AA51"/>
      <c r="AB51"/>
      <c r="AC51"/>
      <c r="AD51"/>
      <c r="AE51"/>
      <c r="AF51"/>
      <c r="AG51"/>
      <c r="AH51" s="105"/>
    </row>
    <row r="52" spans="2:34" x14ac:dyDescent="0.2">
      <c r="B52"/>
      <c r="C52" s="37"/>
      <c r="D52" s="43" t="s">
        <v>351</v>
      </c>
      <c r="E52" s="68">
        <f>1+E47/0.7/(E50-E47)</f>
        <v>1.8137432188065099</v>
      </c>
      <c r="F52" s="38"/>
      <c r="G52" s="38"/>
      <c r="H52" s="38"/>
      <c r="I52" s="38"/>
      <c r="J52" s="7"/>
      <c r="K52"/>
      <c r="M52" s="105"/>
      <c r="N52" s="113"/>
      <c r="O52" s="118"/>
      <c r="P52" s="118"/>
      <c r="Q52" s="114" t="s">
        <v>315</v>
      </c>
      <c r="R52" s="118"/>
      <c r="S52" s="118"/>
      <c r="T52" s="116"/>
      <c r="U52" s="105"/>
      <c r="V52"/>
      <c r="W52"/>
      <c r="X52"/>
      <c r="Y52"/>
      <c r="Z52"/>
      <c r="AA52"/>
      <c r="AB52"/>
      <c r="AC52"/>
      <c r="AD52"/>
      <c r="AE52"/>
      <c r="AF52"/>
      <c r="AG52"/>
      <c r="AH52" s="105"/>
    </row>
    <row r="53" spans="2:34" ht="14.25" x14ac:dyDescent="0.2">
      <c r="B53"/>
      <c r="C53" s="37"/>
      <c r="D53" s="38"/>
      <c r="E53" s="38"/>
      <c r="F53" s="38"/>
      <c r="G53" s="38"/>
      <c r="H53" s="38"/>
      <c r="I53" s="38"/>
      <c r="J53" s="7"/>
      <c r="K53"/>
      <c r="M53" s="105"/>
      <c r="N53" s="113"/>
      <c r="O53" s="118"/>
      <c r="P53" s="118"/>
      <c r="Q53" s="114" t="s">
        <v>316</v>
      </c>
      <c r="R53" s="153">
        <f>3*SQRT(E5*1000)*E3*R23/E6/1000</f>
        <v>0.1873649513649765</v>
      </c>
      <c r="S53" s="118" t="s">
        <v>320</v>
      </c>
      <c r="T53" s="116"/>
      <c r="U53" s="105"/>
      <c r="V53"/>
      <c r="W53"/>
      <c r="X53"/>
      <c r="Y53"/>
      <c r="Z53"/>
      <c r="AA53"/>
      <c r="AB53"/>
      <c r="AC53"/>
      <c r="AD53"/>
      <c r="AE53"/>
      <c r="AF53"/>
      <c r="AG53"/>
      <c r="AH53" s="105"/>
    </row>
    <row r="54" spans="2:34" ht="15" x14ac:dyDescent="0.25">
      <c r="B54"/>
      <c r="C54" s="37"/>
      <c r="D54" s="43" t="s">
        <v>352</v>
      </c>
      <c r="E54" s="631">
        <f>700*E48/E52/E49-2*E47</f>
        <v>10.774809071369461</v>
      </c>
      <c r="F54" s="38" t="s">
        <v>204</v>
      </c>
      <c r="G54" s="38"/>
      <c r="H54" s="38"/>
      <c r="I54" s="38"/>
      <c r="J54" s="7"/>
      <c r="K54"/>
      <c r="M54" s="105"/>
      <c r="N54" s="113"/>
      <c r="O54" s="118"/>
      <c r="P54" s="118"/>
      <c r="Q54" s="114" t="s">
        <v>317</v>
      </c>
      <c r="R54" s="153">
        <f>200*E3*R23/E6/1000</f>
        <v>0.19750000000000001</v>
      </c>
      <c r="S54" s="118" t="s">
        <v>320</v>
      </c>
      <c r="T54" s="116"/>
      <c r="U54" s="105"/>
      <c r="V54"/>
      <c r="W54"/>
      <c r="X54"/>
      <c r="Y54"/>
      <c r="Z54"/>
      <c r="AA54"/>
      <c r="AB54"/>
      <c r="AC54"/>
      <c r="AD54"/>
      <c r="AE54"/>
      <c r="AF54"/>
      <c r="AG54"/>
      <c r="AH54" s="105"/>
    </row>
    <row r="55" spans="2:34" ht="15" thickBot="1" x14ac:dyDescent="0.25">
      <c r="B55"/>
      <c r="C55" s="35"/>
      <c r="D55" s="36" t="s">
        <v>353</v>
      </c>
      <c r="E55" s="36">
        <f>INT(E54*4)/4</f>
        <v>10.75</v>
      </c>
      <c r="F55" s="36" t="s">
        <v>204</v>
      </c>
      <c r="G55" s="36"/>
      <c r="H55" s="36"/>
      <c r="I55" s="36"/>
      <c r="J55" s="13"/>
      <c r="K55"/>
      <c r="M55" s="105"/>
      <c r="N55" s="138"/>
      <c r="O55" s="160"/>
      <c r="P55" s="160"/>
      <c r="Q55" s="128" t="s">
        <v>318</v>
      </c>
      <c r="R55" s="159">
        <f>MAX(R53,R54,S31)</f>
        <v>0.36207973795056653</v>
      </c>
      <c r="S55" s="160" t="s">
        <v>320</v>
      </c>
      <c r="T55" s="129"/>
      <c r="U55" s="105"/>
      <c r="V55"/>
      <c r="W55"/>
      <c r="X55"/>
      <c r="Y55"/>
      <c r="Z55"/>
      <c r="AA55"/>
      <c r="AB55"/>
      <c r="AC55"/>
      <c r="AD55"/>
      <c r="AE55"/>
      <c r="AF55"/>
      <c r="AG55"/>
      <c r="AH55" s="105"/>
    </row>
    <row r="56" spans="2:34" x14ac:dyDescent="0.2">
      <c r="B56"/>
      <c r="C56"/>
      <c r="D56"/>
      <c r="E56"/>
      <c r="F56"/>
      <c r="G56"/>
      <c r="H56"/>
      <c r="I56"/>
      <c r="J56"/>
      <c r="K56"/>
      <c r="M56" s="105"/>
      <c r="N56" s="105"/>
      <c r="O56" s="105"/>
      <c r="P56" s="105"/>
      <c r="Q56" s="105"/>
      <c r="R56" s="105"/>
      <c r="S56" s="105"/>
      <c r="T56" s="105"/>
      <c r="U56" s="105"/>
      <c r="V56"/>
      <c r="W56"/>
      <c r="X56"/>
      <c r="Y56"/>
      <c r="Z56"/>
      <c r="AA56"/>
      <c r="AB56"/>
      <c r="AC56"/>
      <c r="AD56"/>
      <c r="AE56"/>
      <c r="AF56"/>
      <c r="AG56"/>
      <c r="AH56" s="105"/>
    </row>
    <row r="57" spans="2:34" x14ac:dyDescent="0.2">
      <c r="M57" s="105"/>
      <c r="N57" s="105"/>
      <c r="O57" s="105"/>
      <c r="P57" s="105"/>
      <c r="Q57" s="105"/>
      <c r="R57" s="105"/>
      <c r="S57" s="105"/>
      <c r="T57" s="105"/>
      <c r="U57" s="105"/>
      <c r="V57"/>
      <c r="W57"/>
      <c r="X57"/>
      <c r="Y57"/>
      <c r="Z57"/>
      <c r="AA57"/>
      <c r="AB57"/>
      <c r="AC57"/>
      <c r="AD57"/>
      <c r="AE57"/>
      <c r="AF57"/>
      <c r="AG57"/>
      <c r="AH57" s="105"/>
    </row>
    <row r="58" spans="2:34" x14ac:dyDescent="0.2">
      <c r="V58"/>
      <c r="W58"/>
      <c r="X58"/>
      <c r="Y58"/>
      <c r="Z58"/>
      <c r="AA58"/>
      <c r="AB58"/>
      <c r="AC58"/>
      <c r="AD58"/>
      <c r="AE58"/>
      <c r="AF58"/>
      <c r="AG58"/>
    </row>
  </sheetData>
  <conditionalFormatting sqref="E32">
    <cfRule type="cellIs" dxfId="25" priority="5" stopIfTrue="1" operator="lessThan">
      <formula>$E$7</formula>
    </cfRule>
  </conditionalFormatting>
  <conditionalFormatting sqref="G27:H27">
    <cfRule type="expression" dxfId="24" priority="4" stopIfTrue="1">
      <formula>$H$27&lt;1</formula>
    </cfRule>
  </conditionalFormatting>
  <conditionalFormatting sqref="I32:J32">
    <cfRule type="expression" dxfId="23" priority="3" stopIfTrue="1">
      <formula>$J$32&lt;1</formula>
    </cfRule>
  </conditionalFormatting>
  <conditionalFormatting sqref="I31">
    <cfRule type="expression" dxfId="22" priority="2" stopIfTrue="1">
      <formula>$AD$36</formula>
    </cfRule>
  </conditionalFormatting>
  <conditionalFormatting sqref="G16">
    <cfRule type="expression" dxfId="21" priority="1" stopIfTrue="1">
      <formula>$E$16&lt;&gt;$R$49</formula>
    </cfRule>
  </conditionalFormatting>
  <dataValidations count="2">
    <dataValidation type="list" showInputMessage="1" showErrorMessage="1" sqref="E23:E24">
      <formula1>$AK$3:$AK$14</formula1>
    </dataValidation>
    <dataValidation type="list" allowBlank="1" showInputMessage="1" showErrorMessage="1" sqref="E13">
      <formula1>$AK$4:$AK$7</formula1>
    </dataValidation>
  </dataValidations>
  <printOptions horizontalCentered="1" verticalCentered="1"/>
  <pageMargins left="0.56999999999999995" right="0.43" top="0.76" bottom="0.7" header="0.4" footer="0.36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C2:P49"/>
  <sheetViews>
    <sheetView workbookViewId="0">
      <selection activeCell="D7" sqref="D7"/>
    </sheetView>
  </sheetViews>
  <sheetFormatPr defaultRowHeight="12.75" x14ac:dyDescent="0.2"/>
  <cols>
    <col min="3" max="3" width="11.85546875" bestFit="1" customWidth="1"/>
    <col min="4" max="4" width="9.42578125" bestFit="1" customWidth="1"/>
    <col min="5" max="16" width="9.42578125" customWidth="1"/>
  </cols>
  <sheetData>
    <row r="2" spans="3:16" ht="14.25" x14ac:dyDescent="0.2">
      <c r="C2" s="456" t="s">
        <v>535</v>
      </c>
      <c r="J2" s="538" t="s">
        <v>481</v>
      </c>
    </row>
    <row r="3" spans="3:16" ht="14.25" x14ac:dyDescent="0.2">
      <c r="C3" s="456" t="s">
        <v>536</v>
      </c>
      <c r="J3" s="538" t="s">
        <v>482</v>
      </c>
    </row>
    <row r="4" spans="3:16" ht="13.5" thickBot="1" x14ac:dyDescent="0.25"/>
    <row r="5" spans="3:16" ht="15" thickBot="1" x14ac:dyDescent="0.25">
      <c r="E5" s="537" t="s">
        <v>466</v>
      </c>
      <c r="F5" s="76"/>
      <c r="G5" s="76"/>
      <c r="H5" s="76"/>
      <c r="I5" s="76"/>
      <c r="J5" s="40"/>
      <c r="K5" s="537" t="s">
        <v>467</v>
      </c>
      <c r="L5" s="76"/>
      <c r="M5" s="76"/>
      <c r="N5" s="76"/>
      <c r="O5" s="76"/>
      <c r="P5" s="40"/>
    </row>
    <row r="6" spans="3:16" x14ac:dyDescent="0.2">
      <c r="C6" s="431"/>
      <c r="D6" s="389" t="s">
        <v>363</v>
      </c>
      <c r="E6" s="391" t="s">
        <v>394</v>
      </c>
      <c r="F6" s="299"/>
      <c r="G6" s="299"/>
      <c r="H6" s="299"/>
      <c r="I6" s="299"/>
      <c r="J6" s="300"/>
      <c r="K6" s="391" t="s">
        <v>394</v>
      </c>
      <c r="L6" s="299"/>
      <c r="M6" s="299"/>
      <c r="N6" s="299"/>
      <c r="O6" s="299"/>
      <c r="P6" s="300"/>
    </row>
    <row r="7" spans="3:16" x14ac:dyDescent="0.2">
      <c r="C7" s="265" t="s">
        <v>468</v>
      </c>
      <c r="D7" s="322" t="s">
        <v>359</v>
      </c>
      <c r="E7" s="390" t="s">
        <v>25</v>
      </c>
      <c r="F7" s="390" t="s">
        <v>1</v>
      </c>
      <c r="G7" s="390" t="s">
        <v>2</v>
      </c>
      <c r="H7" s="390" t="s">
        <v>3</v>
      </c>
      <c r="I7" s="390" t="s">
        <v>109</v>
      </c>
      <c r="J7" s="253" t="s">
        <v>56</v>
      </c>
      <c r="K7" s="390" t="s">
        <v>25</v>
      </c>
      <c r="L7" s="390" t="s">
        <v>1</v>
      </c>
      <c r="M7" s="390" t="s">
        <v>2</v>
      </c>
      <c r="N7" s="390" t="s">
        <v>3</v>
      </c>
      <c r="O7" s="390" t="s">
        <v>109</v>
      </c>
      <c r="P7" s="253" t="s">
        <v>56</v>
      </c>
    </row>
    <row r="8" spans="3:16" ht="13.5" thickBot="1" x14ac:dyDescent="0.25">
      <c r="C8" s="265" t="s">
        <v>89</v>
      </c>
      <c r="D8" s="322" t="s">
        <v>271</v>
      </c>
      <c r="E8" s="390"/>
      <c r="F8" s="390"/>
      <c r="G8" s="390"/>
      <c r="H8" s="390"/>
      <c r="I8" s="390"/>
      <c r="J8" s="253"/>
      <c r="K8" s="390"/>
      <c r="L8" s="390"/>
      <c r="M8" s="390"/>
      <c r="N8" s="390"/>
      <c r="O8" s="390"/>
      <c r="P8" s="253"/>
    </row>
    <row r="9" spans="3:16" x14ac:dyDescent="0.2">
      <c r="C9" s="496">
        <v>1.5</v>
      </c>
      <c r="D9" s="490" t="s">
        <v>41</v>
      </c>
      <c r="E9" s="491">
        <f>'Stephanie Work'!M9</f>
        <v>8.75</v>
      </c>
      <c r="F9" s="491">
        <f>'Stephanie Work'!V9</f>
        <v>8.75</v>
      </c>
      <c r="G9" s="491">
        <f>'Stephanie Work'!AE9</f>
        <v>8.75</v>
      </c>
      <c r="H9" s="491">
        <f>'Stephanie Work'!AN9</f>
        <v>8.75</v>
      </c>
      <c r="I9" s="491">
        <f>'Stephanie Work'!AW9</f>
        <v>8.75</v>
      </c>
      <c r="J9" s="492">
        <f>'Stephanie Work'!BF9</f>
        <v>8.75</v>
      </c>
      <c r="K9" s="491">
        <f>'Stephanie Work'!BP9</f>
        <v>5.25</v>
      </c>
      <c r="L9" s="491">
        <f>'Stephanie Work'!BZ9</f>
        <v>5</v>
      </c>
      <c r="M9" s="491">
        <f>'Stephanie Work'!CJ9</f>
        <v>5.25</v>
      </c>
      <c r="N9" s="491">
        <f>'Stephanie Work'!CT9</f>
        <v>5.25</v>
      </c>
      <c r="O9" s="491">
        <f>'Stephanie Work'!DD9</f>
        <v>5.5</v>
      </c>
      <c r="P9" s="492">
        <f>'Stephanie Work'!DN9</f>
        <v>5</v>
      </c>
    </row>
    <row r="10" spans="3:16" x14ac:dyDescent="0.2">
      <c r="C10" s="497">
        <v>1.75</v>
      </c>
      <c r="D10" s="378" t="s">
        <v>41</v>
      </c>
      <c r="E10" s="484">
        <f>'Stephanie Work'!M10</f>
        <v>8.75</v>
      </c>
      <c r="F10" s="484">
        <f>'Stephanie Work'!V10</f>
        <v>8.75</v>
      </c>
      <c r="G10" s="484">
        <f>'Stephanie Work'!AE10</f>
        <v>8.75</v>
      </c>
      <c r="H10" s="484">
        <f>'Stephanie Work'!AN10</f>
        <v>8.75</v>
      </c>
      <c r="I10" s="484">
        <f>'Stephanie Work'!AW10</f>
        <v>8.75</v>
      </c>
      <c r="J10" s="485">
        <f>'Stephanie Work'!BF10</f>
        <v>8.75</v>
      </c>
      <c r="K10" s="484">
        <f>'Stephanie Work'!BP10</f>
        <v>5.75</v>
      </c>
      <c r="L10" s="484">
        <f>'Stephanie Work'!BZ10</f>
        <v>5.5</v>
      </c>
      <c r="M10" s="484">
        <f>'Stephanie Work'!CJ10</f>
        <v>5.5</v>
      </c>
      <c r="N10" s="484">
        <f>'Stephanie Work'!CT10</f>
        <v>5.75</v>
      </c>
      <c r="O10" s="484">
        <f>'Stephanie Work'!DD10</f>
        <v>6</v>
      </c>
      <c r="P10" s="485">
        <f>'Stephanie Work'!DN10</f>
        <v>5.5</v>
      </c>
    </row>
    <row r="11" spans="3:16" x14ac:dyDescent="0.2">
      <c r="C11" s="497">
        <v>2</v>
      </c>
      <c r="D11" s="378" t="s">
        <v>41</v>
      </c>
      <c r="E11" s="484">
        <f>'Stephanie Work'!M11</f>
        <v>8.75</v>
      </c>
      <c r="F11" s="484">
        <f>'Stephanie Work'!V11</f>
        <v>8.5</v>
      </c>
      <c r="G11" s="484">
        <f>'Stephanie Work'!AE11</f>
        <v>8.5</v>
      </c>
      <c r="H11" s="484">
        <f>'Stephanie Work'!AN11</f>
        <v>8.75</v>
      </c>
      <c r="I11" s="484">
        <f>'Stephanie Work'!AW11</f>
        <v>8.75</v>
      </c>
      <c r="J11" s="485">
        <f>'Stephanie Work'!BF11</f>
        <v>8.25</v>
      </c>
      <c r="K11" s="484">
        <f>'Stephanie Work'!BP11</f>
        <v>6</v>
      </c>
      <c r="L11" s="484">
        <f>'Stephanie Work'!BZ11</f>
        <v>5.75</v>
      </c>
      <c r="M11" s="484">
        <f>'Stephanie Work'!CJ11</f>
        <v>5.75</v>
      </c>
      <c r="N11" s="484">
        <f>'Stephanie Work'!CT11</f>
        <v>6</v>
      </c>
      <c r="O11" s="484">
        <f>'Stephanie Work'!DD11</f>
        <v>6.25</v>
      </c>
      <c r="P11" s="485">
        <f>'Stephanie Work'!DN11</f>
        <v>5.75</v>
      </c>
    </row>
    <row r="12" spans="3:16" x14ac:dyDescent="0.2">
      <c r="C12" s="497">
        <v>2.25</v>
      </c>
      <c r="D12" s="378" t="s">
        <v>41</v>
      </c>
      <c r="E12" s="484">
        <f>'Stephanie Work'!M12</f>
        <v>8.75</v>
      </c>
      <c r="F12" s="484">
        <f>'Stephanie Work'!V12</f>
        <v>8.25</v>
      </c>
      <c r="G12" s="484">
        <f>'Stephanie Work'!AE12</f>
        <v>8.25</v>
      </c>
      <c r="H12" s="484">
        <f>'Stephanie Work'!AN12</f>
        <v>8.75</v>
      </c>
      <c r="I12" s="484">
        <f>'Stephanie Work'!AW12</f>
        <v>8.75</v>
      </c>
      <c r="J12" s="485">
        <f>'Stephanie Work'!BF12</f>
        <v>8</v>
      </c>
      <c r="K12" s="484">
        <f>'Stephanie Work'!BP12</f>
        <v>6.25</v>
      </c>
      <c r="L12" s="484">
        <f>'Stephanie Work'!BZ12</f>
        <v>6</v>
      </c>
      <c r="M12" s="484">
        <f>'Stephanie Work'!CJ12</f>
        <v>6</v>
      </c>
      <c r="N12" s="484">
        <f>'Stephanie Work'!CT12</f>
        <v>6.25</v>
      </c>
      <c r="O12" s="484">
        <f>'Stephanie Work'!DD12</f>
        <v>6.5</v>
      </c>
      <c r="P12" s="485">
        <f>'Stephanie Work'!DN12</f>
        <v>6</v>
      </c>
    </row>
    <row r="13" spans="3:16" x14ac:dyDescent="0.2">
      <c r="C13" s="497">
        <v>2.5</v>
      </c>
      <c r="D13" s="378" t="s">
        <v>41</v>
      </c>
      <c r="E13" s="484">
        <f>'Stephanie Work'!M13</f>
        <v>8.5</v>
      </c>
      <c r="F13" s="484">
        <f>'Stephanie Work'!V13</f>
        <v>8</v>
      </c>
      <c r="G13" s="484">
        <f>'Stephanie Work'!AE13</f>
        <v>8</v>
      </c>
      <c r="H13" s="484">
        <f>'Stephanie Work'!AN13</f>
        <v>8.25</v>
      </c>
      <c r="I13" s="484">
        <f>'Stephanie Work'!AW13</f>
        <v>8.75</v>
      </c>
      <c r="J13" s="485">
        <f>'Stephanie Work'!BF13</f>
        <v>7.75</v>
      </c>
      <c r="K13" s="484">
        <f>'Stephanie Work'!BP13</f>
        <v>6.5</v>
      </c>
      <c r="L13" s="484">
        <f>'Stephanie Work'!BZ13</f>
        <v>6.25</v>
      </c>
      <c r="M13" s="484">
        <f>'Stephanie Work'!CJ13</f>
        <v>6.25</v>
      </c>
      <c r="N13" s="484">
        <f>'Stephanie Work'!CT13</f>
        <v>6.5</v>
      </c>
      <c r="O13" s="484">
        <f>'Stephanie Work'!DD13</f>
        <v>6.5</v>
      </c>
      <c r="P13" s="485">
        <f>'Stephanie Work'!DN13</f>
        <v>6</v>
      </c>
    </row>
    <row r="14" spans="3:16" x14ac:dyDescent="0.2">
      <c r="C14" s="497">
        <v>2.75</v>
      </c>
      <c r="D14" s="378" t="s">
        <v>41</v>
      </c>
      <c r="E14" s="484">
        <f>'Stephanie Work'!M14</f>
        <v>8.25</v>
      </c>
      <c r="F14" s="484">
        <f>'Stephanie Work'!V14</f>
        <v>7.5</v>
      </c>
      <c r="G14" s="484">
        <f>'Stephanie Work'!AE14</f>
        <v>7.75</v>
      </c>
      <c r="H14" s="484">
        <f>'Stephanie Work'!AN14</f>
        <v>8</v>
      </c>
      <c r="I14" s="484">
        <f>'Stephanie Work'!AW14</f>
        <v>8.75</v>
      </c>
      <c r="J14" s="485">
        <f>'Stephanie Work'!BF14</f>
        <v>7.5</v>
      </c>
      <c r="K14" s="484">
        <f>'Stephanie Work'!BP14</f>
        <v>6.5</v>
      </c>
      <c r="L14" s="484">
        <f>'Stephanie Work'!BZ14</f>
        <v>6.25</v>
      </c>
      <c r="M14" s="484">
        <f>'Stephanie Work'!CJ14</f>
        <v>6.5</v>
      </c>
      <c r="N14" s="484">
        <f>'Stephanie Work'!CT14</f>
        <v>6.5</v>
      </c>
      <c r="O14" s="484">
        <f>'Stephanie Work'!DD14</f>
        <v>6.5</v>
      </c>
      <c r="P14" s="485">
        <f>'Stephanie Work'!DN14</f>
        <v>6.25</v>
      </c>
    </row>
    <row r="15" spans="3:16" x14ac:dyDescent="0.2">
      <c r="C15" s="497">
        <v>3</v>
      </c>
      <c r="D15" s="378" t="s">
        <v>41</v>
      </c>
      <c r="E15" s="484">
        <f>'Stephanie Work'!M15</f>
        <v>8</v>
      </c>
      <c r="F15" s="484">
        <f>'Stephanie Work'!V15</f>
        <v>7.25</v>
      </c>
      <c r="G15" s="484">
        <f>'Stephanie Work'!AE15</f>
        <v>7.5</v>
      </c>
      <c r="H15" s="484">
        <f>'Stephanie Work'!AN15</f>
        <v>7.75</v>
      </c>
      <c r="I15" s="484">
        <f>'Stephanie Work'!AW15</f>
        <v>8.25</v>
      </c>
      <c r="J15" s="485">
        <f>'Stephanie Work'!BF15</f>
        <v>7.25</v>
      </c>
      <c r="K15" s="484">
        <f>'Stephanie Work'!BP15</f>
        <v>6.5</v>
      </c>
      <c r="L15" s="484">
        <f>'Stephanie Work'!BZ15</f>
        <v>6.5</v>
      </c>
      <c r="M15" s="484">
        <f>'Stephanie Work'!CJ15</f>
        <v>6.5</v>
      </c>
      <c r="N15" s="484">
        <f>'Stephanie Work'!CT15</f>
        <v>6.5</v>
      </c>
      <c r="O15" s="484">
        <f>'Stephanie Work'!DD15</f>
        <v>6.5</v>
      </c>
      <c r="P15" s="485">
        <f>'Stephanie Work'!DN15</f>
        <v>6.25</v>
      </c>
    </row>
    <row r="16" spans="3:16" x14ac:dyDescent="0.2">
      <c r="C16" s="497">
        <v>3.25</v>
      </c>
      <c r="D16" s="378" t="s">
        <v>41</v>
      </c>
      <c r="E16" s="484">
        <f>'Stephanie Work'!M16</f>
        <v>7.75</v>
      </c>
      <c r="F16" s="484">
        <f>'Stephanie Work'!V16</f>
        <v>7</v>
      </c>
      <c r="G16" s="484">
        <f>'Stephanie Work'!AE16</f>
        <v>7.25</v>
      </c>
      <c r="H16" s="484">
        <f>'Stephanie Work'!AN16</f>
        <v>7.5</v>
      </c>
      <c r="I16" s="484">
        <f>'Stephanie Work'!AW16</f>
        <v>8</v>
      </c>
      <c r="J16" s="485">
        <f>'Stephanie Work'!BF16</f>
        <v>7</v>
      </c>
      <c r="K16" s="484">
        <f>'Stephanie Work'!BP16</f>
        <v>6.5</v>
      </c>
      <c r="L16" s="484">
        <f>'Stephanie Work'!BZ16</f>
        <v>6.5</v>
      </c>
      <c r="M16" s="484">
        <f>'Stephanie Work'!CJ16</f>
        <v>6.5</v>
      </c>
      <c r="N16" s="484">
        <f>'Stephanie Work'!CT16</f>
        <v>6.5</v>
      </c>
      <c r="O16" s="484">
        <f>'Stephanie Work'!DD16</f>
        <v>6.5</v>
      </c>
      <c r="P16" s="485">
        <f>'Stephanie Work'!DN16</f>
        <v>6.5</v>
      </c>
    </row>
    <row r="17" spans="3:16" x14ac:dyDescent="0.2">
      <c r="C17" s="497">
        <v>3.5</v>
      </c>
      <c r="D17" s="378" t="s">
        <v>41</v>
      </c>
      <c r="E17" s="484">
        <f>'Stephanie Work'!M17</f>
        <v>7.5</v>
      </c>
      <c r="F17" s="484">
        <f>'Stephanie Work'!V17</f>
        <v>6.75</v>
      </c>
      <c r="G17" s="484">
        <f>'Stephanie Work'!AE17</f>
        <v>7</v>
      </c>
      <c r="H17" s="484">
        <f>'Stephanie Work'!AN17</f>
        <v>7.25</v>
      </c>
      <c r="I17" s="484">
        <f>'Stephanie Work'!AW17</f>
        <v>7.75</v>
      </c>
      <c r="J17" s="485">
        <f>'Stephanie Work'!BF17</f>
        <v>6.75</v>
      </c>
      <c r="K17" s="484">
        <f>'Stephanie Work'!BP17</f>
        <v>6.5</v>
      </c>
      <c r="L17" s="484">
        <f>'Stephanie Work'!BZ17</f>
        <v>6.5</v>
      </c>
      <c r="M17" s="484">
        <f>'Stephanie Work'!CJ17</f>
        <v>6.5</v>
      </c>
      <c r="N17" s="484">
        <f>'Stephanie Work'!CT17</f>
        <v>6.5</v>
      </c>
      <c r="O17" s="484">
        <f>'Stephanie Work'!DD17</f>
        <v>6.5</v>
      </c>
      <c r="P17" s="485">
        <f>'Stephanie Work'!DN17</f>
        <v>6.5</v>
      </c>
    </row>
    <row r="18" spans="3:16" x14ac:dyDescent="0.2">
      <c r="C18" s="497">
        <v>3.75</v>
      </c>
      <c r="D18" s="378" t="s">
        <v>41</v>
      </c>
      <c r="E18" s="484">
        <f>'Stephanie Work'!M18</f>
        <v>7.25</v>
      </c>
      <c r="F18" s="484">
        <f>'Stephanie Work'!V18</f>
        <v>6.75</v>
      </c>
      <c r="G18" s="484">
        <f>'Stephanie Work'!AE18</f>
        <v>6.75</v>
      </c>
      <c r="H18" s="484">
        <f>'Stephanie Work'!AN18</f>
        <v>7</v>
      </c>
      <c r="I18" s="484">
        <f>'Stephanie Work'!AW18</f>
        <v>7.5</v>
      </c>
      <c r="J18" s="485">
        <f>'Stephanie Work'!BF18</f>
        <v>6.5</v>
      </c>
      <c r="K18" s="484">
        <f>'Stephanie Work'!BP18</f>
        <v>6.5</v>
      </c>
      <c r="L18" s="484">
        <f>'Stephanie Work'!BZ18</f>
        <v>6.5</v>
      </c>
      <c r="M18" s="484">
        <f>'Stephanie Work'!CJ18</f>
        <v>6.5</v>
      </c>
      <c r="N18" s="484">
        <f>'Stephanie Work'!CT18</f>
        <v>6.5</v>
      </c>
      <c r="O18" s="484">
        <f>'Stephanie Work'!DD18</f>
        <v>6.5</v>
      </c>
      <c r="P18" s="485">
        <f>'Stephanie Work'!DN18</f>
        <v>6.5</v>
      </c>
    </row>
    <row r="19" spans="3:16" x14ac:dyDescent="0.2">
      <c r="C19" s="497">
        <v>4</v>
      </c>
      <c r="D19" s="378" t="s">
        <v>41</v>
      </c>
      <c r="E19" s="484">
        <f>'Stephanie Work'!M19</f>
        <v>7</v>
      </c>
      <c r="F19" s="484">
        <f>'Stephanie Work'!V19</f>
        <v>6.5</v>
      </c>
      <c r="G19" s="484">
        <f>'Stephanie Work'!AE19</f>
        <v>6.5</v>
      </c>
      <c r="H19" s="484">
        <f>'Stephanie Work'!AN19</f>
        <v>6.75</v>
      </c>
      <c r="I19" s="484">
        <f>'Stephanie Work'!AW19</f>
        <v>7.25</v>
      </c>
      <c r="J19" s="485">
        <f>'Stephanie Work'!BF19</f>
        <v>6.25</v>
      </c>
      <c r="K19" s="484">
        <f>'Stephanie Work'!BP19</f>
        <v>6.5</v>
      </c>
      <c r="L19" s="484">
        <f>'Stephanie Work'!BZ19</f>
        <v>6.25</v>
      </c>
      <c r="M19" s="484">
        <f>'Stephanie Work'!CJ19</f>
        <v>6.5</v>
      </c>
      <c r="N19" s="484">
        <f>'Stephanie Work'!CT19</f>
        <v>6.5</v>
      </c>
      <c r="O19" s="484">
        <f>'Stephanie Work'!DD19</f>
        <v>6.5</v>
      </c>
      <c r="P19" s="485">
        <f>'Stephanie Work'!DN19</f>
        <v>6.25</v>
      </c>
    </row>
    <row r="20" spans="3:16" x14ac:dyDescent="0.2">
      <c r="C20" s="497">
        <v>4.25</v>
      </c>
      <c r="D20" s="378" t="s">
        <v>41</v>
      </c>
      <c r="E20" s="484">
        <f>'Stephanie Work'!M20</f>
        <v>6.75</v>
      </c>
      <c r="F20" s="484">
        <f>'Stephanie Work'!V20</f>
        <v>6.25</v>
      </c>
      <c r="G20" s="484">
        <f>'Stephanie Work'!AE20</f>
        <v>6.25</v>
      </c>
      <c r="H20" s="484">
        <f>'Stephanie Work'!AN20</f>
        <v>6.5</v>
      </c>
      <c r="I20" s="484">
        <f>'Stephanie Work'!AW20</f>
        <v>7</v>
      </c>
      <c r="J20" s="485">
        <f>'Stephanie Work'!BF20</f>
        <v>6.25</v>
      </c>
      <c r="K20" s="484">
        <f>'Stephanie Work'!BP20</f>
        <v>6.5</v>
      </c>
      <c r="L20" s="484">
        <f>'Stephanie Work'!BZ20</f>
        <v>6.25</v>
      </c>
      <c r="M20" s="484">
        <f>'Stephanie Work'!CJ20</f>
        <v>6.25</v>
      </c>
      <c r="N20" s="484">
        <f>'Stephanie Work'!CT20</f>
        <v>6.5</v>
      </c>
      <c r="O20" s="484">
        <f>'Stephanie Work'!DD20</f>
        <v>6.5</v>
      </c>
      <c r="P20" s="485">
        <f>'Stephanie Work'!DN20</f>
        <v>6</v>
      </c>
    </row>
    <row r="21" spans="3:16" x14ac:dyDescent="0.2">
      <c r="C21" s="497">
        <v>4.5</v>
      </c>
      <c r="D21" s="378" t="s">
        <v>41</v>
      </c>
      <c r="E21" s="484">
        <f>'Stephanie Work'!M21</f>
        <v>6.5</v>
      </c>
      <c r="F21" s="484">
        <f>'Stephanie Work'!V21</f>
        <v>6</v>
      </c>
      <c r="G21" s="484">
        <f>'Stephanie Work'!AE21</f>
        <v>6</v>
      </c>
      <c r="H21" s="484">
        <f>'Stephanie Work'!AN21</f>
        <v>6.25</v>
      </c>
      <c r="I21" s="484">
        <f>'Stephanie Work'!AW21</f>
        <v>6.75</v>
      </c>
      <c r="J21" s="485">
        <f>'Stephanie Work'!BF21</f>
        <v>6</v>
      </c>
      <c r="K21" s="484">
        <f>'Stephanie Work'!BP21</f>
        <v>6.5</v>
      </c>
      <c r="L21" s="484">
        <f>'Stephanie Work'!BZ21</f>
        <v>6</v>
      </c>
      <c r="M21" s="484">
        <f>'Stephanie Work'!CJ21</f>
        <v>6</v>
      </c>
      <c r="N21" s="484">
        <f>'Stephanie Work'!CT21</f>
        <v>6.25</v>
      </c>
      <c r="O21" s="484">
        <f>'Stephanie Work'!DD21</f>
        <v>6.5</v>
      </c>
      <c r="P21" s="485">
        <f>'Stephanie Work'!DN21</f>
        <v>6</v>
      </c>
    </row>
    <row r="22" spans="3:16" x14ac:dyDescent="0.2">
      <c r="C22" s="497">
        <v>4.75</v>
      </c>
      <c r="D22" s="378" t="s">
        <v>41</v>
      </c>
      <c r="E22" s="484">
        <f>'Stephanie Work'!M22</f>
        <v>6.25</v>
      </c>
      <c r="F22" s="484">
        <f>'Stephanie Work'!V22</f>
        <v>5.75</v>
      </c>
      <c r="G22" s="484">
        <f>'Stephanie Work'!AE22</f>
        <v>6</v>
      </c>
      <c r="H22" s="484">
        <f>'Stephanie Work'!AN22</f>
        <v>6.25</v>
      </c>
      <c r="I22" s="484">
        <f>'Stephanie Work'!AW22</f>
        <v>6.5</v>
      </c>
      <c r="J22" s="485">
        <f>'Stephanie Work'!BF22</f>
        <v>5.75</v>
      </c>
      <c r="K22" s="484">
        <f>'Stephanie Work'!BP22</f>
        <v>6.25</v>
      </c>
      <c r="L22" s="484">
        <f>'Stephanie Work'!BZ22</f>
        <v>5.75</v>
      </c>
      <c r="M22" s="484">
        <f>'Stephanie Work'!CJ22</f>
        <v>6</v>
      </c>
      <c r="N22" s="484">
        <f>'Stephanie Work'!CT22</f>
        <v>6</v>
      </c>
      <c r="O22" s="484">
        <f>'Stephanie Work'!DD22</f>
        <v>6.5</v>
      </c>
      <c r="P22" s="485">
        <f>'Stephanie Work'!DN22</f>
        <v>5.75</v>
      </c>
    </row>
    <row r="23" spans="3:16" x14ac:dyDescent="0.2">
      <c r="C23" s="497">
        <v>5</v>
      </c>
      <c r="D23" s="378" t="s">
        <v>41</v>
      </c>
      <c r="E23" s="484">
        <f>'Stephanie Work'!M23</f>
        <v>6</v>
      </c>
      <c r="F23" s="484">
        <f>'Stephanie Work'!V23</f>
        <v>5.75</v>
      </c>
      <c r="G23" s="484">
        <f>'Stephanie Work'!AE23</f>
        <v>5.75</v>
      </c>
      <c r="H23" s="484">
        <f>'Stephanie Work'!AN23</f>
        <v>6</v>
      </c>
      <c r="I23" s="484">
        <f>'Stephanie Work'!AW23</f>
        <v>6.25</v>
      </c>
      <c r="J23" s="485">
        <f>'Stephanie Work'!BF23</f>
        <v>5.5</v>
      </c>
      <c r="K23" s="484">
        <f>'Stephanie Work'!BP23</f>
        <v>6</v>
      </c>
      <c r="L23" s="484">
        <f>'Stephanie Work'!BZ23</f>
        <v>5.75</v>
      </c>
      <c r="M23" s="484">
        <f>'Stephanie Work'!CJ23</f>
        <v>5.75</v>
      </c>
      <c r="N23" s="484">
        <f>'Stephanie Work'!CT23</f>
        <v>6</v>
      </c>
      <c r="O23" s="484">
        <f>'Stephanie Work'!DD23</f>
        <v>6.25</v>
      </c>
      <c r="P23" s="485">
        <f>'Stephanie Work'!DN23</f>
        <v>5.5</v>
      </c>
    </row>
    <row r="24" spans="3:16" x14ac:dyDescent="0.2">
      <c r="C24" s="497">
        <v>5.25</v>
      </c>
      <c r="D24" s="378" t="s">
        <v>41</v>
      </c>
      <c r="E24" s="484">
        <f>'Stephanie Work'!M24</f>
        <v>6</v>
      </c>
      <c r="F24" s="484">
        <f>'Stephanie Work'!V24</f>
        <v>5.5</v>
      </c>
      <c r="G24" s="484">
        <f>'Stephanie Work'!AE24</f>
        <v>5.5</v>
      </c>
      <c r="H24" s="484">
        <f>'Stephanie Work'!AN24</f>
        <v>5.75</v>
      </c>
      <c r="I24" s="484">
        <f>'Stephanie Work'!AW24</f>
        <v>6.25</v>
      </c>
      <c r="J24" s="485">
        <f>'Stephanie Work'!BF24</f>
        <v>5.5</v>
      </c>
      <c r="K24" s="484">
        <f>'Stephanie Work'!BP24</f>
        <v>6</v>
      </c>
      <c r="L24" s="484">
        <f>'Stephanie Work'!BZ24</f>
        <v>5.5</v>
      </c>
      <c r="M24" s="484">
        <f>'Stephanie Work'!CJ24</f>
        <v>5.5</v>
      </c>
      <c r="N24" s="484">
        <f>'Stephanie Work'!CT24</f>
        <v>5.75</v>
      </c>
      <c r="O24" s="484">
        <f>'Stephanie Work'!DD24</f>
        <v>6</v>
      </c>
      <c r="P24" s="485">
        <f>'Stephanie Work'!DN24</f>
        <v>5.5</v>
      </c>
    </row>
    <row r="25" spans="3:16" x14ac:dyDescent="0.2">
      <c r="C25" s="497">
        <v>5.5</v>
      </c>
      <c r="D25" s="378" t="s">
        <v>41</v>
      </c>
      <c r="E25" s="484">
        <f>'Stephanie Work'!M25</f>
        <v>5.75</v>
      </c>
      <c r="F25" s="484">
        <f>'Stephanie Work'!V25</f>
        <v>5.25</v>
      </c>
      <c r="G25" s="484">
        <f>'Stephanie Work'!AE25</f>
        <v>5.25</v>
      </c>
      <c r="H25" s="484">
        <f>'Stephanie Work'!AN25</f>
        <v>5.5</v>
      </c>
      <c r="I25" s="484">
        <f>'Stephanie Work'!AW25</f>
        <v>6</v>
      </c>
      <c r="J25" s="485">
        <f>'Stephanie Work'!BF25</f>
        <v>5.25</v>
      </c>
      <c r="K25" s="484">
        <f>'Stephanie Work'!BP25</f>
        <v>5.75</v>
      </c>
      <c r="L25" s="484">
        <f>'Stephanie Work'!BZ25</f>
        <v>5.25</v>
      </c>
      <c r="M25" s="484">
        <f>'Stephanie Work'!CJ25</f>
        <v>5.5</v>
      </c>
      <c r="N25" s="484">
        <f>'Stephanie Work'!CT25</f>
        <v>5.5</v>
      </c>
      <c r="O25" s="484">
        <f>'Stephanie Work'!DD25</f>
        <v>6</v>
      </c>
      <c r="P25" s="485">
        <f>'Stephanie Work'!DN25</f>
        <v>5.25</v>
      </c>
    </row>
    <row r="26" spans="3:16" x14ac:dyDescent="0.2">
      <c r="C26" s="497">
        <v>5.75</v>
      </c>
      <c r="D26" s="378" t="s">
        <v>41</v>
      </c>
      <c r="E26" s="484">
        <f>'Stephanie Work'!M26</f>
        <v>5.5</v>
      </c>
      <c r="F26" s="484">
        <f>'Stephanie Work'!V26</f>
        <v>5.25</v>
      </c>
      <c r="G26" s="484">
        <f>'Stephanie Work'!AE26</f>
        <v>5.25</v>
      </c>
      <c r="H26" s="484">
        <f>'Stephanie Work'!AN26</f>
        <v>5.5</v>
      </c>
      <c r="I26" s="484">
        <f>'Stephanie Work'!AW26</f>
        <v>5.75</v>
      </c>
      <c r="J26" s="485">
        <f>'Stephanie Work'!BF26</f>
        <v>5</v>
      </c>
      <c r="K26" s="484">
        <f>'Stephanie Work'!BP26</f>
        <v>5.5</v>
      </c>
      <c r="L26" s="484">
        <f>'Stephanie Work'!BZ26</f>
        <v>5.25</v>
      </c>
      <c r="M26" s="484">
        <f>'Stephanie Work'!CJ26</f>
        <v>5.25</v>
      </c>
      <c r="N26" s="484">
        <f>'Stephanie Work'!CT26</f>
        <v>5.5</v>
      </c>
      <c r="O26" s="484">
        <f>'Stephanie Work'!DD26</f>
        <v>5.75</v>
      </c>
      <c r="P26" s="485">
        <f>'Stephanie Work'!DN26</f>
        <v>5.25</v>
      </c>
    </row>
    <row r="27" spans="3:16" x14ac:dyDescent="0.2">
      <c r="C27" s="497">
        <v>6</v>
      </c>
      <c r="D27" s="378" t="s">
        <v>41</v>
      </c>
      <c r="E27" s="488">
        <f>'Stephanie Work'!M27</f>
        <v>5.25</v>
      </c>
      <c r="F27" s="488">
        <f>'Stephanie Work'!V27</f>
        <v>5</v>
      </c>
      <c r="G27" s="488">
        <f>'Stephanie Work'!AE27</f>
        <v>5</v>
      </c>
      <c r="H27" s="488">
        <f>'Stephanie Work'!AN27</f>
        <v>5.25</v>
      </c>
      <c r="I27" s="488">
        <f>'Stephanie Work'!AW27</f>
        <v>5.5</v>
      </c>
      <c r="J27" s="489">
        <f>'Stephanie Work'!BF27</f>
        <v>5</v>
      </c>
      <c r="K27" s="488">
        <f>'Stephanie Work'!BP27</f>
        <v>5.5</v>
      </c>
      <c r="L27" s="488">
        <f>'Stephanie Work'!BZ27</f>
        <v>5</v>
      </c>
      <c r="M27" s="488">
        <f>'Stephanie Work'!CJ27</f>
        <v>5</v>
      </c>
      <c r="N27" s="488">
        <f>'Stephanie Work'!CT27</f>
        <v>5.25</v>
      </c>
      <c r="O27" s="488">
        <f>'Stephanie Work'!DD27</f>
        <v>5.5</v>
      </c>
      <c r="P27" s="489">
        <f>'Stephanie Work'!DN27</f>
        <v>5</v>
      </c>
    </row>
    <row r="28" spans="3:16" x14ac:dyDescent="0.2">
      <c r="C28" s="498">
        <v>1.5</v>
      </c>
      <c r="D28" s="486" t="s">
        <v>42</v>
      </c>
      <c r="E28" s="482">
        <f>'Stephanie Work'!M28</f>
        <v>12.5</v>
      </c>
      <c r="F28" s="482">
        <f>'Stephanie Work'!V28</f>
        <v>12.5</v>
      </c>
      <c r="G28" s="482">
        <f>'Stephanie Work'!AE28</f>
        <v>12.5</v>
      </c>
      <c r="H28" s="482">
        <f>'Stephanie Work'!AN28</f>
        <v>12.5</v>
      </c>
      <c r="I28" s="482">
        <f>'Stephanie Work'!AW28</f>
        <v>12.5</v>
      </c>
      <c r="J28" s="483">
        <f>'Stephanie Work'!BF28</f>
        <v>12.5</v>
      </c>
      <c r="K28" s="482">
        <f>'Stephanie Work'!BP28</f>
        <v>7.75</v>
      </c>
      <c r="L28" s="482">
        <f>'Stephanie Work'!BZ28</f>
        <v>7.25</v>
      </c>
      <c r="M28" s="482">
        <f>'Stephanie Work'!CJ28</f>
        <v>7.5</v>
      </c>
      <c r="N28" s="482">
        <f>'Stephanie Work'!CT28</f>
        <v>7.5</v>
      </c>
      <c r="O28" s="482">
        <f>'Stephanie Work'!DD28</f>
        <v>7.75</v>
      </c>
      <c r="P28" s="483">
        <f>'Stephanie Work'!DN28</f>
        <v>7.25</v>
      </c>
    </row>
    <row r="29" spans="3:16" x14ac:dyDescent="0.2">
      <c r="C29" s="497">
        <v>1.75</v>
      </c>
      <c r="D29" s="487" t="s">
        <v>42</v>
      </c>
      <c r="E29" s="484">
        <f>'Stephanie Work'!M29</f>
        <v>12.5</v>
      </c>
      <c r="F29" s="484">
        <f>'Stephanie Work'!V29</f>
        <v>12.5</v>
      </c>
      <c r="G29" s="484">
        <f>'Stephanie Work'!AE29</f>
        <v>12.5</v>
      </c>
      <c r="H29" s="484">
        <f>'Stephanie Work'!AN29</f>
        <v>12.5</v>
      </c>
      <c r="I29" s="484">
        <f>'Stephanie Work'!AW29</f>
        <v>12.5</v>
      </c>
      <c r="J29" s="485">
        <f>'Stephanie Work'!BF29</f>
        <v>12.25</v>
      </c>
      <c r="K29" s="484">
        <f>'Stephanie Work'!BP29</f>
        <v>8.25</v>
      </c>
      <c r="L29" s="484">
        <f>'Stephanie Work'!BZ29</f>
        <v>7.75</v>
      </c>
      <c r="M29" s="484">
        <f>'Stephanie Work'!CJ29</f>
        <v>8</v>
      </c>
      <c r="N29" s="484">
        <f>'Stephanie Work'!CT29</f>
        <v>8</v>
      </c>
      <c r="O29" s="484">
        <f>'Stephanie Work'!DD29</f>
        <v>8.5</v>
      </c>
      <c r="P29" s="485">
        <f>'Stephanie Work'!DN29</f>
        <v>7.75</v>
      </c>
    </row>
    <row r="30" spans="3:16" x14ac:dyDescent="0.2">
      <c r="C30" s="497">
        <v>2</v>
      </c>
      <c r="D30" s="487" t="s">
        <v>42</v>
      </c>
      <c r="E30" s="484">
        <f>'Stephanie Work'!M30</f>
        <v>12.5</v>
      </c>
      <c r="F30" s="484">
        <f>'Stephanie Work'!V30</f>
        <v>12</v>
      </c>
      <c r="G30" s="484">
        <f>'Stephanie Work'!AE30</f>
        <v>12.25</v>
      </c>
      <c r="H30" s="484">
        <f>'Stephanie Work'!AN30</f>
        <v>12.5</v>
      </c>
      <c r="I30" s="484">
        <f>'Stephanie Work'!AW30</f>
        <v>12.5</v>
      </c>
      <c r="J30" s="485">
        <f>'Stephanie Work'!BF30</f>
        <v>11.75</v>
      </c>
      <c r="K30" s="484">
        <f>'Stephanie Work'!BP30</f>
        <v>8.75</v>
      </c>
      <c r="L30" s="484">
        <f>'Stephanie Work'!BZ30</f>
        <v>8.25</v>
      </c>
      <c r="M30" s="484">
        <f>'Stephanie Work'!CJ30</f>
        <v>8.25</v>
      </c>
      <c r="N30" s="484">
        <f>'Stephanie Work'!CT30</f>
        <v>8.5</v>
      </c>
      <c r="O30" s="484">
        <f>'Stephanie Work'!DD30</f>
        <v>8.75</v>
      </c>
      <c r="P30" s="485">
        <f>'Stephanie Work'!DN30</f>
        <v>8.25</v>
      </c>
    </row>
    <row r="31" spans="3:16" x14ac:dyDescent="0.2">
      <c r="C31" s="497">
        <v>2.25</v>
      </c>
      <c r="D31" s="487" t="s">
        <v>42</v>
      </c>
      <c r="E31" s="484">
        <f>'Stephanie Work'!M31</f>
        <v>12.5</v>
      </c>
      <c r="F31" s="484">
        <f>'Stephanie Work'!V31</f>
        <v>11.75</v>
      </c>
      <c r="G31" s="484">
        <f>'Stephanie Work'!AE31</f>
        <v>11.75</v>
      </c>
      <c r="H31" s="484">
        <f>'Stephanie Work'!AN31</f>
        <v>12.25</v>
      </c>
      <c r="I31" s="484">
        <f>'Stephanie Work'!AW31</f>
        <v>12.5</v>
      </c>
      <c r="J31" s="485">
        <f>'Stephanie Work'!BF31</f>
        <v>11.5</v>
      </c>
      <c r="K31" s="484">
        <f>'Stephanie Work'!BP31</f>
        <v>9</v>
      </c>
      <c r="L31" s="484">
        <f>'Stephanie Work'!BZ31</f>
        <v>8.5</v>
      </c>
      <c r="M31" s="484">
        <f>'Stephanie Work'!CJ31</f>
        <v>8.75</v>
      </c>
      <c r="N31" s="484">
        <f>'Stephanie Work'!CT31</f>
        <v>8.75</v>
      </c>
      <c r="O31" s="484">
        <f>'Stephanie Work'!DD31</f>
        <v>9.25</v>
      </c>
      <c r="P31" s="485">
        <f>'Stephanie Work'!DN31</f>
        <v>8.5</v>
      </c>
    </row>
    <row r="32" spans="3:16" x14ac:dyDescent="0.2">
      <c r="C32" s="497">
        <v>2.5</v>
      </c>
      <c r="D32" s="487" t="s">
        <v>42</v>
      </c>
      <c r="E32" s="484">
        <f>'Stephanie Work'!M32</f>
        <v>12.25</v>
      </c>
      <c r="F32" s="484">
        <f>'Stephanie Work'!V32</f>
        <v>11.25</v>
      </c>
      <c r="G32" s="484">
        <f>'Stephanie Work'!AE32</f>
        <v>11.5</v>
      </c>
      <c r="H32" s="484">
        <f>'Stephanie Work'!AN32</f>
        <v>11.75</v>
      </c>
      <c r="I32" s="484">
        <f>'Stephanie Work'!AW32</f>
        <v>12.5</v>
      </c>
      <c r="J32" s="485">
        <f>'Stephanie Work'!BF32</f>
        <v>11</v>
      </c>
      <c r="K32" s="484">
        <f>'Stephanie Work'!BP32</f>
        <v>9.25</v>
      </c>
      <c r="L32" s="484">
        <f>'Stephanie Work'!BZ32</f>
        <v>8.75</v>
      </c>
      <c r="M32" s="484">
        <f>'Stephanie Work'!CJ32</f>
        <v>9</v>
      </c>
      <c r="N32" s="484">
        <f>'Stephanie Work'!CT32</f>
        <v>9.25</v>
      </c>
      <c r="O32" s="484">
        <f>'Stephanie Work'!DD32</f>
        <v>9.25</v>
      </c>
      <c r="P32" s="485">
        <f>'Stephanie Work'!DN32</f>
        <v>8.75</v>
      </c>
    </row>
    <row r="33" spans="3:16" x14ac:dyDescent="0.2">
      <c r="C33" s="497">
        <v>2.75</v>
      </c>
      <c r="D33" s="487" t="s">
        <v>42</v>
      </c>
      <c r="E33" s="484">
        <f>'Stephanie Work'!M33</f>
        <v>11.75</v>
      </c>
      <c r="F33" s="484">
        <f>'Stephanie Work'!V33</f>
        <v>10.75</v>
      </c>
      <c r="G33" s="484">
        <f>'Stephanie Work'!AE33</f>
        <v>11</v>
      </c>
      <c r="H33" s="484">
        <f>'Stephanie Work'!AN33</f>
        <v>11.5</v>
      </c>
      <c r="I33" s="484">
        <f>'Stephanie Work'!AW33</f>
        <v>12.25</v>
      </c>
      <c r="J33" s="485">
        <f>'Stephanie Work'!BF33</f>
        <v>10.75</v>
      </c>
      <c r="K33" s="484">
        <f>'Stephanie Work'!BP33</f>
        <v>9.25</v>
      </c>
      <c r="L33" s="484">
        <f>'Stephanie Work'!BZ33</f>
        <v>9</v>
      </c>
      <c r="M33" s="484">
        <f>'Stephanie Work'!CJ33</f>
        <v>9.25</v>
      </c>
      <c r="N33" s="484">
        <f>'Stephanie Work'!CT33</f>
        <v>9.25</v>
      </c>
      <c r="O33" s="484">
        <f>'Stephanie Work'!DD33</f>
        <v>9.25</v>
      </c>
      <c r="P33" s="485">
        <f>'Stephanie Work'!DN33</f>
        <v>9</v>
      </c>
    </row>
    <row r="34" spans="3:16" x14ac:dyDescent="0.2">
      <c r="C34" s="497">
        <v>3</v>
      </c>
      <c r="D34" s="487" t="s">
        <v>42</v>
      </c>
      <c r="E34" s="484">
        <f>'Stephanie Work'!M34</f>
        <v>11.25</v>
      </c>
      <c r="F34" s="484">
        <f>'Stephanie Work'!V34</f>
        <v>10.5</v>
      </c>
      <c r="G34" s="484">
        <f>'Stephanie Work'!AE34</f>
        <v>10.75</v>
      </c>
      <c r="H34" s="484">
        <f>'Stephanie Work'!AN34</f>
        <v>11</v>
      </c>
      <c r="I34" s="484">
        <f>'Stephanie Work'!AW34</f>
        <v>11.75</v>
      </c>
      <c r="J34" s="485">
        <f>'Stephanie Work'!BF34</f>
        <v>10.25</v>
      </c>
      <c r="K34" s="484">
        <f>'Stephanie Work'!BP34</f>
        <v>9.25</v>
      </c>
      <c r="L34" s="484">
        <f>'Stephanie Work'!BZ34</f>
        <v>9.25</v>
      </c>
      <c r="M34" s="484">
        <f>'Stephanie Work'!CJ34</f>
        <v>9.25</v>
      </c>
      <c r="N34" s="484">
        <f>'Stephanie Work'!CT34</f>
        <v>9.25</v>
      </c>
      <c r="O34" s="484">
        <f>'Stephanie Work'!DD34</f>
        <v>9.25</v>
      </c>
      <c r="P34" s="485">
        <f>'Stephanie Work'!DN34</f>
        <v>9</v>
      </c>
    </row>
    <row r="35" spans="3:16" x14ac:dyDescent="0.2">
      <c r="C35" s="497">
        <v>3.25</v>
      </c>
      <c r="D35" s="487" t="s">
        <v>42</v>
      </c>
      <c r="E35" s="484">
        <f>'Stephanie Work'!M35</f>
        <v>11</v>
      </c>
      <c r="F35" s="484">
        <f>'Stephanie Work'!V35</f>
        <v>10.25</v>
      </c>
      <c r="G35" s="484">
        <f>'Stephanie Work'!AE35</f>
        <v>10.25</v>
      </c>
      <c r="H35" s="484">
        <f>'Stephanie Work'!AN35</f>
        <v>10.75</v>
      </c>
      <c r="I35" s="484">
        <f>'Stephanie Work'!AW35</f>
        <v>11.5</v>
      </c>
      <c r="J35" s="485">
        <f>'Stephanie Work'!BF35</f>
        <v>10</v>
      </c>
      <c r="K35" s="484">
        <f>'Stephanie Work'!BP35</f>
        <v>9.25</v>
      </c>
      <c r="L35" s="484">
        <f>'Stephanie Work'!BZ35</f>
        <v>9.25</v>
      </c>
      <c r="M35" s="484">
        <f>'Stephanie Work'!CJ35</f>
        <v>9.25</v>
      </c>
      <c r="N35" s="484">
        <f>'Stephanie Work'!CT35</f>
        <v>9.25</v>
      </c>
      <c r="O35" s="484">
        <f>'Stephanie Work'!DD35</f>
        <v>9.25</v>
      </c>
      <c r="P35" s="485">
        <f>'Stephanie Work'!DN35</f>
        <v>9.25</v>
      </c>
    </row>
    <row r="36" spans="3:16" x14ac:dyDescent="0.2">
      <c r="C36" s="497">
        <v>3.5</v>
      </c>
      <c r="D36" s="487" t="s">
        <v>42</v>
      </c>
      <c r="E36" s="484">
        <f>'Stephanie Work'!M36</f>
        <v>10.5</v>
      </c>
      <c r="F36" s="484">
        <f>'Stephanie Work'!V36</f>
        <v>9.75</v>
      </c>
      <c r="G36" s="484">
        <f>'Stephanie Work'!AE36</f>
        <v>10</v>
      </c>
      <c r="H36" s="484">
        <f>'Stephanie Work'!AN36</f>
        <v>10.25</v>
      </c>
      <c r="I36" s="484">
        <f>'Stephanie Work'!AW36</f>
        <v>11</v>
      </c>
      <c r="J36" s="485">
        <f>'Stephanie Work'!BF36</f>
        <v>9.75</v>
      </c>
      <c r="K36" s="484">
        <f>'Stephanie Work'!BP36</f>
        <v>9.25</v>
      </c>
      <c r="L36" s="484">
        <f>'Stephanie Work'!BZ36</f>
        <v>9.25</v>
      </c>
      <c r="M36" s="484">
        <f>'Stephanie Work'!CJ36</f>
        <v>9.25</v>
      </c>
      <c r="N36" s="484">
        <f>'Stephanie Work'!CT36</f>
        <v>9.25</v>
      </c>
      <c r="O36" s="484">
        <f>'Stephanie Work'!DD36</f>
        <v>9.25</v>
      </c>
      <c r="P36" s="485">
        <f>'Stephanie Work'!DN36</f>
        <v>9.25</v>
      </c>
    </row>
    <row r="37" spans="3:16" x14ac:dyDescent="0.2">
      <c r="C37" s="497">
        <v>3.75</v>
      </c>
      <c r="D37" s="487" t="s">
        <v>42</v>
      </c>
      <c r="E37" s="484">
        <f>'Stephanie Work'!M37</f>
        <v>10.25</v>
      </c>
      <c r="F37" s="484">
        <f>'Stephanie Work'!V37</f>
        <v>9.5</v>
      </c>
      <c r="G37" s="484">
        <f>'Stephanie Work'!AE37</f>
        <v>9.5</v>
      </c>
      <c r="H37" s="484">
        <f>'Stephanie Work'!AN37</f>
        <v>10</v>
      </c>
      <c r="I37" s="484">
        <f>'Stephanie Work'!AW37</f>
        <v>10.75</v>
      </c>
      <c r="J37" s="485">
        <f>'Stephanie Work'!BF37</f>
        <v>9.25</v>
      </c>
      <c r="K37" s="484">
        <f>'Stephanie Work'!BP37</f>
        <v>9.25</v>
      </c>
      <c r="L37" s="484">
        <f>'Stephanie Work'!BZ37</f>
        <v>9.25</v>
      </c>
      <c r="M37" s="484">
        <f>'Stephanie Work'!CJ37</f>
        <v>9.25</v>
      </c>
      <c r="N37" s="484">
        <f>'Stephanie Work'!CT37</f>
        <v>9.25</v>
      </c>
      <c r="O37" s="484">
        <f>'Stephanie Work'!DD37</f>
        <v>9.25</v>
      </c>
      <c r="P37" s="485">
        <f>'Stephanie Work'!DN37</f>
        <v>9.25</v>
      </c>
    </row>
    <row r="38" spans="3:16" x14ac:dyDescent="0.2">
      <c r="C38" s="497">
        <v>4</v>
      </c>
      <c r="D38" s="487" t="s">
        <v>42</v>
      </c>
      <c r="E38" s="484">
        <f>'Stephanie Work'!M38</f>
        <v>10</v>
      </c>
      <c r="F38" s="484">
        <f>'Stephanie Work'!V38</f>
        <v>9.25</v>
      </c>
      <c r="G38" s="484">
        <f>'Stephanie Work'!AE38</f>
        <v>9.25</v>
      </c>
      <c r="H38" s="484">
        <f>'Stephanie Work'!AN38</f>
        <v>9.75</v>
      </c>
      <c r="I38" s="484">
        <f>'Stephanie Work'!AW38</f>
        <v>10.25</v>
      </c>
      <c r="J38" s="485">
        <f>'Stephanie Work'!BF38</f>
        <v>9</v>
      </c>
      <c r="K38" s="484">
        <f>'Stephanie Work'!BP38</f>
        <v>9.25</v>
      </c>
      <c r="L38" s="484">
        <f>'Stephanie Work'!BZ38</f>
        <v>9</v>
      </c>
      <c r="M38" s="484">
        <f>'Stephanie Work'!CJ38</f>
        <v>9.25</v>
      </c>
      <c r="N38" s="484">
        <f>'Stephanie Work'!CT38</f>
        <v>9.25</v>
      </c>
      <c r="O38" s="484">
        <f>'Stephanie Work'!DD38</f>
        <v>9.25</v>
      </c>
      <c r="P38" s="485">
        <f>'Stephanie Work'!DN38</f>
        <v>9</v>
      </c>
    </row>
    <row r="39" spans="3:16" x14ac:dyDescent="0.2">
      <c r="C39" s="497">
        <v>4.25</v>
      </c>
      <c r="D39" s="487" t="s">
        <v>42</v>
      </c>
      <c r="E39" s="484">
        <f>'Stephanie Work'!M39</f>
        <v>9.5</v>
      </c>
      <c r="F39" s="484">
        <f>'Stephanie Work'!V39</f>
        <v>8.75</v>
      </c>
      <c r="G39" s="484">
        <f>'Stephanie Work'!AE39</f>
        <v>9</v>
      </c>
      <c r="H39" s="484">
        <f>'Stephanie Work'!AN39</f>
        <v>9.25</v>
      </c>
      <c r="I39" s="484">
        <f>'Stephanie Work'!AW39</f>
        <v>10</v>
      </c>
      <c r="J39" s="485">
        <f>'Stephanie Work'!BF39</f>
        <v>8.75</v>
      </c>
      <c r="K39" s="484">
        <f>'Stephanie Work'!BP39</f>
        <v>9.25</v>
      </c>
      <c r="L39" s="484">
        <f>'Stephanie Work'!BZ39</f>
        <v>8.75</v>
      </c>
      <c r="M39" s="484">
        <f>'Stephanie Work'!CJ39</f>
        <v>9</v>
      </c>
      <c r="N39" s="484">
        <f>'Stephanie Work'!CT39</f>
        <v>9.25</v>
      </c>
      <c r="O39" s="484">
        <f>'Stephanie Work'!DD39</f>
        <v>9.25</v>
      </c>
      <c r="P39" s="485">
        <f>'Stephanie Work'!DN39</f>
        <v>8.75</v>
      </c>
    </row>
    <row r="40" spans="3:16" x14ac:dyDescent="0.2">
      <c r="C40" s="497">
        <v>4.5</v>
      </c>
      <c r="D40" s="487" t="s">
        <v>42</v>
      </c>
      <c r="E40" s="484">
        <f>'Stephanie Work'!M40</f>
        <v>9.25</v>
      </c>
      <c r="F40" s="484">
        <f>'Stephanie Work'!V40</f>
        <v>8.5</v>
      </c>
      <c r="G40" s="484">
        <f>'Stephanie Work'!AE40</f>
        <v>8.75</v>
      </c>
      <c r="H40" s="484">
        <f>'Stephanie Work'!AN40</f>
        <v>9</v>
      </c>
      <c r="I40" s="484">
        <f>'Stephanie Work'!AW40</f>
        <v>9.75</v>
      </c>
      <c r="J40" s="485">
        <f>'Stephanie Work'!BF40</f>
        <v>8.5</v>
      </c>
      <c r="K40" s="484">
        <f>'Stephanie Work'!BP40</f>
        <v>9.25</v>
      </c>
      <c r="L40" s="484">
        <f>'Stephanie Work'!BZ40</f>
        <v>8.5</v>
      </c>
      <c r="M40" s="484">
        <f>'Stephanie Work'!CJ40</f>
        <v>8.75</v>
      </c>
      <c r="N40" s="484">
        <f>'Stephanie Work'!CT40</f>
        <v>9</v>
      </c>
      <c r="O40" s="484">
        <f>'Stephanie Work'!DD40</f>
        <v>9.25</v>
      </c>
      <c r="P40" s="485">
        <f>'Stephanie Work'!DN40</f>
        <v>8.5</v>
      </c>
    </row>
    <row r="41" spans="3:16" x14ac:dyDescent="0.2">
      <c r="C41" s="497">
        <v>4.75</v>
      </c>
      <c r="D41" s="487" t="s">
        <v>42</v>
      </c>
      <c r="E41" s="484">
        <f>'Stephanie Work'!M41</f>
        <v>9</v>
      </c>
      <c r="F41" s="484">
        <f>'Stephanie Work'!V41</f>
        <v>8.25</v>
      </c>
      <c r="G41" s="484">
        <f>'Stephanie Work'!AE41</f>
        <v>8.5</v>
      </c>
      <c r="H41" s="484">
        <f>'Stephanie Work'!AN41</f>
        <v>8.75</v>
      </c>
      <c r="I41" s="484">
        <f>'Stephanie Work'!AW41</f>
        <v>9.25</v>
      </c>
      <c r="J41" s="485">
        <f>'Stephanie Work'!BF41</f>
        <v>8.25</v>
      </c>
      <c r="K41" s="484">
        <f>'Stephanie Work'!BP41</f>
        <v>9</v>
      </c>
      <c r="L41" s="484">
        <f>'Stephanie Work'!BZ41</f>
        <v>8.25</v>
      </c>
      <c r="M41" s="484">
        <f>'Stephanie Work'!CJ41</f>
        <v>8.5</v>
      </c>
      <c r="N41" s="484">
        <f>'Stephanie Work'!CT41</f>
        <v>8.75</v>
      </c>
      <c r="O41" s="484">
        <f>'Stephanie Work'!DD41</f>
        <v>9.25</v>
      </c>
      <c r="P41" s="485">
        <f>'Stephanie Work'!DN41</f>
        <v>8.25</v>
      </c>
    </row>
    <row r="42" spans="3:16" x14ac:dyDescent="0.2">
      <c r="C42" s="497">
        <v>5</v>
      </c>
      <c r="D42" s="487" t="s">
        <v>42</v>
      </c>
      <c r="E42" s="484">
        <f>'Stephanie Work'!M42</f>
        <v>8.75</v>
      </c>
      <c r="F42" s="484">
        <f>'Stephanie Work'!V42</f>
        <v>8</v>
      </c>
      <c r="G42" s="484">
        <f>'Stephanie Work'!AE42</f>
        <v>8.25</v>
      </c>
      <c r="H42" s="484">
        <f>'Stephanie Work'!AN42</f>
        <v>8.5</v>
      </c>
      <c r="I42" s="484">
        <f>'Stephanie Work'!AW42</f>
        <v>9</v>
      </c>
      <c r="J42" s="485">
        <f>'Stephanie Work'!BF42</f>
        <v>8</v>
      </c>
      <c r="K42" s="484">
        <f>'Stephanie Work'!BP42</f>
        <v>8.75</v>
      </c>
      <c r="L42" s="484">
        <f>'Stephanie Work'!BZ42</f>
        <v>8</v>
      </c>
      <c r="M42" s="484">
        <f>'Stephanie Work'!CJ42</f>
        <v>8.25</v>
      </c>
      <c r="N42" s="484">
        <f>'Stephanie Work'!CT42</f>
        <v>8.5</v>
      </c>
      <c r="O42" s="484">
        <f>'Stephanie Work'!DD42</f>
        <v>9</v>
      </c>
      <c r="P42" s="485">
        <f>'Stephanie Work'!DN42</f>
        <v>8</v>
      </c>
    </row>
    <row r="43" spans="3:16" x14ac:dyDescent="0.2">
      <c r="C43" s="497">
        <v>5.25</v>
      </c>
      <c r="D43" s="487" t="s">
        <v>42</v>
      </c>
      <c r="E43" s="484">
        <f>'Stephanie Work'!M43</f>
        <v>8.5</v>
      </c>
      <c r="F43" s="484">
        <f>'Stephanie Work'!V43</f>
        <v>7.75</v>
      </c>
      <c r="G43" s="484">
        <f>'Stephanie Work'!AE43</f>
        <v>8</v>
      </c>
      <c r="H43" s="484">
        <f>'Stephanie Work'!AN43</f>
        <v>8.25</v>
      </c>
      <c r="I43" s="484">
        <f>'Stephanie Work'!AW43</f>
        <v>8.75</v>
      </c>
      <c r="J43" s="485">
        <f>'Stephanie Work'!BF43</f>
        <v>7.75</v>
      </c>
      <c r="K43" s="484">
        <f>'Stephanie Work'!BP43</f>
        <v>8.5</v>
      </c>
      <c r="L43" s="484">
        <f>'Stephanie Work'!BZ43</f>
        <v>7.75</v>
      </c>
      <c r="M43" s="484">
        <f>'Stephanie Work'!CJ43</f>
        <v>8</v>
      </c>
      <c r="N43" s="484">
        <f>'Stephanie Work'!CT43</f>
        <v>8.25</v>
      </c>
      <c r="O43" s="484">
        <f>'Stephanie Work'!DD43</f>
        <v>8.75</v>
      </c>
      <c r="P43" s="485">
        <f>'Stephanie Work'!DN43</f>
        <v>7.75</v>
      </c>
    </row>
    <row r="44" spans="3:16" x14ac:dyDescent="0.2">
      <c r="C44" s="497">
        <v>5.5</v>
      </c>
      <c r="D44" s="487" t="s">
        <v>42</v>
      </c>
      <c r="E44" s="484">
        <f>'Stephanie Work'!M44</f>
        <v>8.25</v>
      </c>
      <c r="F44" s="484">
        <f>'Stephanie Work'!V44</f>
        <v>7.5</v>
      </c>
      <c r="G44" s="484">
        <f>'Stephanie Work'!AE44</f>
        <v>7.75</v>
      </c>
      <c r="H44" s="484">
        <f>'Stephanie Work'!AN44</f>
        <v>8</v>
      </c>
      <c r="I44" s="484">
        <f>'Stephanie Work'!AW44</f>
        <v>8.5</v>
      </c>
      <c r="J44" s="485">
        <f>'Stephanie Work'!BF44</f>
        <v>7.5</v>
      </c>
      <c r="K44" s="484">
        <f>'Stephanie Work'!BP44</f>
        <v>8.25</v>
      </c>
      <c r="L44" s="484">
        <f>'Stephanie Work'!BZ44</f>
        <v>7.75</v>
      </c>
      <c r="M44" s="484">
        <f>'Stephanie Work'!CJ44</f>
        <v>7.75</v>
      </c>
      <c r="N44" s="484">
        <f>'Stephanie Work'!CT44</f>
        <v>8</v>
      </c>
      <c r="O44" s="484">
        <f>'Stephanie Work'!DD44</f>
        <v>8.5</v>
      </c>
      <c r="P44" s="485">
        <f>'Stephanie Work'!DN44</f>
        <v>7.5</v>
      </c>
    </row>
    <row r="45" spans="3:16" x14ac:dyDescent="0.2">
      <c r="C45" s="497">
        <v>5.75</v>
      </c>
      <c r="D45" s="487" t="s">
        <v>42</v>
      </c>
      <c r="E45" s="484">
        <f>'Stephanie Work'!M45</f>
        <v>8</v>
      </c>
      <c r="F45" s="484">
        <f>'Stephanie Work'!V45</f>
        <v>7.25</v>
      </c>
      <c r="G45" s="484">
        <f>'Stephanie Work'!AE45</f>
        <v>7.5</v>
      </c>
      <c r="H45" s="484">
        <f>'Stephanie Work'!AN45</f>
        <v>7.75</v>
      </c>
      <c r="I45" s="484">
        <f>'Stephanie Work'!AW45</f>
        <v>8.25</v>
      </c>
      <c r="J45" s="485">
        <f>'Stephanie Work'!BF45</f>
        <v>7.25</v>
      </c>
      <c r="K45" s="484">
        <f>'Stephanie Work'!BP45</f>
        <v>8</v>
      </c>
      <c r="L45" s="484">
        <f>'Stephanie Work'!BZ45</f>
        <v>7.5</v>
      </c>
      <c r="M45" s="484">
        <f>'Stephanie Work'!CJ45</f>
        <v>7.5</v>
      </c>
      <c r="N45" s="484">
        <f>'Stephanie Work'!CT45</f>
        <v>7.75</v>
      </c>
      <c r="O45" s="484">
        <f>'Stephanie Work'!DD45</f>
        <v>8.25</v>
      </c>
      <c r="P45" s="485">
        <f>'Stephanie Work'!DN45</f>
        <v>7.25</v>
      </c>
    </row>
    <row r="46" spans="3:16" ht="13.5" thickBot="1" x14ac:dyDescent="0.25">
      <c r="C46" s="499">
        <v>6</v>
      </c>
      <c r="D46" s="493" t="s">
        <v>42</v>
      </c>
      <c r="E46" s="494">
        <f>'Stephanie Work'!M46</f>
        <v>7.75</v>
      </c>
      <c r="F46" s="494">
        <f>'Stephanie Work'!V46</f>
        <v>7</v>
      </c>
      <c r="G46" s="494">
        <f>'Stephanie Work'!AE46</f>
        <v>7.25</v>
      </c>
      <c r="H46" s="494">
        <f>'Stephanie Work'!AN46</f>
        <v>7.5</v>
      </c>
      <c r="I46" s="494">
        <f>'Stephanie Work'!AW46</f>
        <v>8</v>
      </c>
      <c r="J46" s="495">
        <f>'Stephanie Work'!BF46</f>
        <v>7</v>
      </c>
      <c r="K46" s="494">
        <f>'Stephanie Work'!BP46</f>
        <v>7.75</v>
      </c>
      <c r="L46" s="494">
        <f>'Stephanie Work'!BZ46</f>
        <v>7.25</v>
      </c>
      <c r="M46" s="494">
        <f>'Stephanie Work'!CJ46</f>
        <v>7.25</v>
      </c>
      <c r="N46" s="494">
        <f>'Stephanie Work'!CT46</f>
        <v>7.5</v>
      </c>
      <c r="O46" s="494">
        <f>'Stephanie Work'!DD46</f>
        <v>8</v>
      </c>
      <c r="P46" s="495">
        <f>'Stephanie Work'!DN46</f>
        <v>7.25</v>
      </c>
    </row>
    <row r="47" spans="3:16" x14ac:dyDescent="0.2">
      <c r="O47" s="626" t="str">
        <f>'LRFD Deck Charts'!S57</f>
        <v>Version 1 Released</v>
      </c>
      <c r="P47" s="563">
        <f>'LRFD Deck Charts'!T57</f>
        <v>42164</v>
      </c>
    </row>
    <row r="48" spans="3:16" x14ac:dyDescent="0.2">
      <c r="C48" s="456" t="s">
        <v>469</v>
      </c>
      <c r="L48" s="456" t="s">
        <v>627</v>
      </c>
    </row>
    <row r="49" spans="12:14" ht="15.75" x14ac:dyDescent="0.3">
      <c r="L49" s="456" t="s">
        <v>483</v>
      </c>
      <c r="N49" s="456" t="s">
        <v>484</v>
      </c>
    </row>
  </sheetData>
  <pageMargins left="0.7" right="0.7" top="0.55000000000000004" bottom="0.55000000000000004" header="0.3" footer="0.3"/>
  <pageSetup scale="87" orientation="landscape" r:id="rId1"/>
  <headerFooter>
    <oddHeader>&amp;L&amp;14MDT&amp;C&amp;14LRFD Bridge Deck Design&amp;R&amp;14Bridge Bureau</oddHeader>
    <oddFooter>&amp;L&amp;F&amp;C&amp;P&amp;R&amp;D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DN66"/>
  <sheetViews>
    <sheetView workbookViewId="0">
      <selection activeCell="D7" sqref="D7"/>
    </sheetView>
  </sheetViews>
  <sheetFormatPr defaultRowHeight="12.75" x14ac:dyDescent="0.2"/>
  <cols>
    <col min="1" max="1" width="23.140625" customWidth="1"/>
  </cols>
  <sheetData>
    <row r="1" spans="1:118" x14ac:dyDescent="0.2">
      <c r="E1" s="228">
        <v>1</v>
      </c>
      <c r="F1" s="228">
        <v>2</v>
      </c>
      <c r="G1" s="228">
        <v>3</v>
      </c>
      <c r="H1" s="228">
        <v>4</v>
      </c>
      <c r="I1" s="228">
        <v>5</v>
      </c>
      <c r="J1" s="228">
        <v>6</v>
      </c>
      <c r="K1" s="228">
        <v>7</v>
      </c>
      <c r="L1" s="228">
        <v>8</v>
      </c>
      <c r="M1" s="228">
        <v>9</v>
      </c>
      <c r="N1" s="228">
        <v>10</v>
      </c>
      <c r="O1" s="228">
        <v>11</v>
      </c>
      <c r="P1" s="228">
        <v>12</v>
      </c>
      <c r="Q1" s="228">
        <v>13</v>
      </c>
      <c r="R1" s="228">
        <v>14</v>
      </c>
      <c r="S1" s="228">
        <v>15</v>
      </c>
      <c r="T1" s="228">
        <v>16</v>
      </c>
      <c r="U1" s="228">
        <v>17</v>
      </c>
      <c r="V1" s="228">
        <v>18</v>
      </c>
      <c r="W1" s="228">
        <v>19</v>
      </c>
      <c r="X1" s="228">
        <v>20</v>
      </c>
      <c r="Y1" s="228">
        <v>21</v>
      </c>
      <c r="Z1" s="228">
        <v>22</v>
      </c>
      <c r="AA1" s="228">
        <v>23</v>
      </c>
      <c r="AB1" s="228">
        <v>24</v>
      </c>
      <c r="AC1" s="228">
        <v>25</v>
      </c>
      <c r="AD1" s="228">
        <v>26</v>
      </c>
      <c r="AE1" s="228">
        <v>27</v>
      </c>
      <c r="AF1" s="228">
        <v>28</v>
      </c>
      <c r="AG1" s="228">
        <v>29</v>
      </c>
      <c r="AH1" s="228">
        <v>30</v>
      </c>
      <c r="AI1" s="228">
        <v>31</v>
      </c>
      <c r="AJ1" s="228">
        <v>32</v>
      </c>
      <c r="AK1" s="228">
        <v>33</v>
      </c>
      <c r="AL1" s="228">
        <v>34</v>
      </c>
      <c r="AM1" s="228">
        <v>35</v>
      </c>
      <c r="AN1" s="228">
        <v>36</v>
      </c>
      <c r="AO1" s="228">
        <v>37</v>
      </c>
      <c r="AP1" s="228">
        <v>38</v>
      </c>
      <c r="AQ1" s="228">
        <v>39</v>
      </c>
      <c r="AR1" s="228">
        <v>40</v>
      </c>
      <c r="AS1" s="228">
        <v>41</v>
      </c>
      <c r="AT1" s="228">
        <v>42</v>
      </c>
      <c r="AU1" s="228">
        <v>43</v>
      </c>
      <c r="AV1" s="228">
        <v>44</v>
      </c>
      <c r="AW1" s="228">
        <v>45</v>
      </c>
      <c r="AX1" s="228">
        <v>46</v>
      </c>
      <c r="AY1" s="228">
        <v>47</v>
      </c>
      <c r="AZ1" s="228">
        <v>48</v>
      </c>
      <c r="BA1" s="228">
        <v>49</v>
      </c>
      <c r="BB1" s="228">
        <v>50</v>
      </c>
      <c r="BC1" s="228">
        <v>51</v>
      </c>
      <c r="BD1" s="228">
        <v>52</v>
      </c>
      <c r="BE1" s="228">
        <v>53</v>
      </c>
      <c r="BF1" s="228">
        <v>54</v>
      </c>
      <c r="BG1" s="228">
        <v>55</v>
      </c>
      <c r="BH1" s="228">
        <v>56</v>
      </c>
      <c r="BI1" s="228">
        <v>57</v>
      </c>
      <c r="BJ1" s="228">
        <v>58</v>
      </c>
      <c r="BK1" s="228">
        <v>59</v>
      </c>
      <c r="BL1" s="228">
        <v>60</v>
      </c>
      <c r="BM1" s="228">
        <v>61</v>
      </c>
      <c r="BN1" s="228">
        <v>62</v>
      </c>
      <c r="BO1" s="228">
        <v>63</v>
      </c>
      <c r="BP1" s="228">
        <v>64</v>
      </c>
      <c r="BQ1" s="228">
        <v>65</v>
      </c>
      <c r="BR1" s="228">
        <v>66</v>
      </c>
      <c r="BS1" s="228">
        <v>67</v>
      </c>
      <c r="BT1" s="228">
        <v>68</v>
      </c>
      <c r="BU1" s="228">
        <v>69</v>
      </c>
      <c r="BV1" s="228">
        <v>70</v>
      </c>
      <c r="BW1" s="228">
        <v>71</v>
      </c>
      <c r="BX1" s="228">
        <v>72</v>
      </c>
      <c r="BY1" s="228">
        <v>73</v>
      </c>
      <c r="BZ1" s="228">
        <v>74</v>
      </c>
      <c r="CA1" s="228">
        <v>75</v>
      </c>
      <c r="CB1" s="228">
        <v>76</v>
      </c>
      <c r="CC1" s="228">
        <v>77</v>
      </c>
      <c r="CD1" s="228">
        <v>78</v>
      </c>
      <c r="CE1" s="228">
        <v>79</v>
      </c>
      <c r="CF1" s="228">
        <v>80</v>
      </c>
      <c r="CG1" s="228">
        <v>81</v>
      </c>
      <c r="CH1" s="228">
        <v>82</v>
      </c>
      <c r="CI1" s="228">
        <v>83</v>
      </c>
      <c r="CJ1" s="228">
        <v>84</v>
      </c>
      <c r="CK1" s="228">
        <v>85</v>
      </c>
      <c r="CL1" s="228">
        <v>86</v>
      </c>
      <c r="CM1" s="228">
        <v>87</v>
      </c>
      <c r="CN1" s="228">
        <v>88</v>
      </c>
      <c r="CO1" s="228">
        <v>89</v>
      </c>
      <c r="CP1" s="228">
        <v>90</v>
      </c>
      <c r="CQ1" s="228">
        <v>91</v>
      </c>
      <c r="CR1" s="228">
        <v>92</v>
      </c>
      <c r="CS1" s="228">
        <v>93</v>
      </c>
      <c r="CT1" s="228">
        <v>94</v>
      </c>
      <c r="CU1" s="228">
        <v>95</v>
      </c>
      <c r="CV1" s="228">
        <v>96</v>
      </c>
      <c r="CW1" s="228">
        <v>97</v>
      </c>
      <c r="CX1" s="228">
        <v>98</v>
      </c>
      <c r="CY1" s="228">
        <v>99</v>
      </c>
      <c r="CZ1" s="228">
        <v>100</v>
      </c>
      <c r="DA1" s="228">
        <v>101</v>
      </c>
      <c r="DB1" s="228">
        <v>102</v>
      </c>
      <c r="DC1" s="228">
        <v>103</v>
      </c>
      <c r="DD1" s="228">
        <v>104</v>
      </c>
      <c r="DE1" s="228">
        <v>105</v>
      </c>
      <c r="DF1" s="228">
        <v>106</v>
      </c>
      <c r="DG1" s="228">
        <v>107</v>
      </c>
      <c r="DH1" s="228">
        <v>108</v>
      </c>
      <c r="DI1" s="228">
        <v>109</v>
      </c>
      <c r="DJ1" s="228">
        <v>110</v>
      </c>
      <c r="DK1" s="228">
        <v>111</v>
      </c>
      <c r="DL1" s="228">
        <v>112</v>
      </c>
      <c r="DM1" s="228">
        <v>113</v>
      </c>
      <c r="DN1" s="228">
        <v>114</v>
      </c>
    </row>
    <row r="2" spans="1:118" ht="15.75" x14ac:dyDescent="0.25">
      <c r="C2" s="456" t="s">
        <v>538</v>
      </c>
      <c r="AF2" s="585" t="s">
        <v>481</v>
      </c>
      <c r="AG2" s="585"/>
      <c r="AH2" s="585"/>
      <c r="AI2" s="585"/>
      <c r="AJ2" s="585"/>
      <c r="AK2" s="585"/>
      <c r="AL2" s="585"/>
      <c r="AM2" s="585"/>
      <c r="AN2" s="585"/>
    </row>
    <row r="3" spans="1:118" ht="16.5" thickBot="1" x14ac:dyDescent="0.3">
      <c r="E3" s="228"/>
      <c r="F3" s="228"/>
      <c r="AF3" s="585" t="s">
        <v>503</v>
      </c>
      <c r="AG3" s="585"/>
      <c r="AH3" s="585"/>
      <c r="AI3" s="585"/>
      <c r="AJ3" s="585"/>
      <c r="AK3" s="585"/>
      <c r="AL3" s="585"/>
      <c r="AM3" s="585"/>
      <c r="AN3" s="585"/>
    </row>
    <row r="4" spans="1:118" ht="15.75" thickBot="1" x14ac:dyDescent="0.25">
      <c r="E4" s="586" t="s">
        <v>504</v>
      </c>
      <c r="F4" s="587"/>
      <c r="G4" s="587"/>
      <c r="H4" s="587"/>
      <c r="I4" s="587"/>
      <c r="J4" s="587"/>
      <c r="K4" s="587" t="s">
        <v>537</v>
      </c>
      <c r="L4" s="587"/>
      <c r="M4" s="587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586" t="s">
        <v>505</v>
      </c>
      <c r="BH4" s="76"/>
      <c r="BI4" s="76"/>
      <c r="BJ4" s="76"/>
      <c r="BK4" s="76"/>
      <c r="BL4" s="76"/>
      <c r="BM4" s="76"/>
      <c r="BN4" s="587" t="s">
        <v>537</v>
      </c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40"/>
    </row>
    <row r="5" spans="1:118" ht="13.5" thickBot="1" x14ac:dyDescent="0.25">
      <c r="C5" s="431"/>
      <c r="D5" s="431" t="s">
        <v>363</v>
      </c>
      <c r="E5" s="98" t="s">
        <v>506</v>
      </c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  <c r="BF5" s="257"/>
      <c r="BG5" s="434" t="s">
        <v>507</v>
      </c>
      <c r="BH5" s="588"/>
      <c r="BI5" s="588"/>
      <c r="BJ5" s="588"/>
      <c r="BK5" s="588"/>
      <c r="BL5" s="588"/>
      <c r="BM5" s="503"/>
    </row>
    <row r="6" spans="1:118" x14ac:dyDescent="0.2">
      <c r="C6" s="265" t="s">
        <v>468</v>
      </c>
      <c r="D6" s="304" t="s">
        <v>359</v>
      </c>
      <c r="E6" s="242" t="s">
        <v>25</v>
      </c>
      <c r="F6" s="589"/>
      <c r="G6" s="589"/>
      <c r="H6" s="589"/>
      <c r="I6" s="589"/>
      <c r="J6" s="589"/>
      <c r="K6" s="589"/>
      <c r="L6" s="589"/>
      <c r="M6" s="589"/>
      <c r="N6" s="242" t="s">
        <v>1</v>
      </c>
      <c r="O6" s="589"/>
      <c r="P6" s="589"/>
      <c r="Q6" s="589"/>
      <c r="R6" s="589"/>
      <c r="S6" s="589"/>
      <c r="T6" s="589"/>
      <c r="U6" s="589"/>
      <c r="V6" s="590"/>
      <c r="W6" s="242" t="s">
        <v>2</v>
      </c>
      <c r="X6" s="589"/>
      <c r="Y6" s="589"/>
      <c r="Z6" s="589"/>
      <c r="AA6" s="589"/>
      <c r="AB6" s="589"/>
      <c r="AC6" s="589"/>
      <c r="AD6" s="589"/>
      <c r="AE6" s="590"/>
      <c r="AF6" s="242" t="s">
        <v>3</v>
      </c>
      <c r="AG6" s="589"/>
      <c r="AH6" s="589"/>
      <c r="AI6" s="589"/>
      <c r="AJ6" s="589"/>
      <c r="AK6" s="589"/>
      <c r="AL6" s="589"/>
      <c r="AM6" s="589"/>
      <c r="AN6" s="590"/>
      <c r="AO6" s="242" t="s">
        <v>109</v>
      </c>
      <c r="AP6" s="589"/>
      <c r="AQ6" s="589"/>
      <c r="AR6" s="589"/>
      <c r="AS6" s="589"/>
      <c r="AT6" s="589"/>
      <c r="AU6" s="589"/>
      <c r="AV6" s="589"/>
      <c r="AW6" s="590"/>
      <c r="AX6" s="242" t="s">
        <v>56</v>
      </c>
      <c r="AY6" s="589"/>
      <c r="AZ6" s="589"/>
      <c r="BA6" s="589"/>
      <c r="BB6" s="589"/>
      <c r="BC6" s="589"/>
      <c r="BD6" s="589"/>
      <c r="BE6" s="589"/>
      <c r="BF6" s="5"/>
      <c r="BG6" s="322" t="s">
        <v>25</v>
      </c>
      <c r="BH6" s="589"/>
      <c r="BI6" s="589"/>
      <c r="BJ6" s="589"/>
      <c r="BK6" s="589"/>
      <c r="BL6" s="589"/>
      <c r="BM6" s="241"/>
      <c r="BN6" s="589"/>
      <c r="BO6" s="589"/>
      <c r="BP6" s="589"/>
      <c r="BQ6" s="242" t="s">
        <v>1</v>
      </c>
      <c r="BR6" s="589"/>
      <c r="BS6" s="589"/>
      <c r="BT6" s="589"/>
      <c r="BU6" s="589"/>
      <c r="BV6" s="589"/>
      <c r="BW6" s="589"/>
      <c r="BX6" s="589"/>
      <c r="BY6" s="589"/>
      <c r="BZ6" s="590"/>
      <c r="CA6" s="242" t="s">
        <v>2</v>
      </c>
      <c r="CB6" s="589"/>
      <c r="CC6" s="589"/>
      <c r="CD6" s="589"/>
      <c r="CE6" s="589"/>
      <c r="CF6" s="589"/>
      <c r="CG6" s="589"/>
      <c r="CH6" s="589"/>
      <c r="CI6" s="589"/>
      <c r="CJ6" s="590"/>
      <c r="CK6" s="591" t="s">
        <v>3</v>
      </c>
      <c r="CL6" s="589"/>
      <c r="CM6" s="589"/>
      <c r="CN6" s="589"/>
      <c r="CO6" s="589"/>
      <c r="CP6" s="589"/>
      <c r="CQ6" s="589"/>
      <c r="CR6" s="589"/>
      <c r="CS6" s="589"/>
      <c r="CT6" s="590"/>
      <c r="CU6" s="242" t="s">
        <v>109</v>
      </c>
      <c r="CV6" s="589"/>
      <c r="CW6" s="589"/>
      <c r="CX6" s="589"/>
      <c r="CY6" s="589"/>
      <c r="CZ6" s="589"/>
      <c r="DA6" s="589"/>
      <c r="DB6" s="589"/>
      <c r="DC6" s="589"/>
      <c r="DD6" s="590"/>
      <c r="DE6" s="242" t="s">
        <v>56</v>
      </c>
      <c r="DF6" s="589"/>
      <c r="DG6" s="589"/>
      <c r="DH6" s="589"/>
      <c r="DI6" s="589"/>
      <c r="DJ6" s="589"/>
      <c r="DK6" s="589"/>
      <c r="DL6" s="589"/>
      <c r="DM6" s="589"/>
      <c r="DN6" s="5"/>
    </row>
    <row r="7" spans="1:118" x14ac:dyDescent="0.2">
      <c r="C7" s="265" t="s">
        <v>89</v>
      </c>
      <c r="D7" s="304" t="s">
        <v>271</v>
      </c>
      <c r="E7" s="592">
        <v>37</v>
      </c>
      <c r="F7" s="103" t="s">
        <v>508</v>
      </c>
      <c r="G7" s="280"/>
      <c r="H7" s="38"/>
      <c r="I7" s="38"/>
      <c r="J7" s="38"/>
      <c r="K7" s="38"/>
      <c r="L7" s="38"/>
      <c r="M7" s="38"/>
      <c r="N7" s="592">
        <v>16</v>
      </c>
      <c r="O7" s="103" t="s">
        <v>508</v>
      </c>
      <c r="P7" s="280"/>
      <c r="Q7" s="38"/>
      <c r="R7" s="38"/>
      <c r="S7" s="38"/>
      <c r="T7" s="38"/>
      <c r="U7" s="38"/>
      <c r="V7" s="7"/>
      <c r="W7" s="593">
        <v>20</v>
      </c>
      <c r="X7" s="277" t="s">
        <v>508</v>
      </c>
      <c r="Y7" s="278"/>
      <c r="Z7" s="38"/>
      <c r="AA7" s="38"/>
      <c r="AB7" s="38"/>
      <c r="AC7" s="38"/>
      <c r="AD7" s="38"/>
      <c r="AE7" s="7"/>
      <c r="AF7" s="593">
        <v>30</v>
      </c>
      <c r="AG7" s="277" t="s">
        <v>508</v>
      </c>
      <c r="AH7" s="278"/>
      <c r="AI7" s="38"/>
      <c r="AJ7" s="38"/>
      <c r="AK7" s="38"/>
      <c r="AL7" s="38"/>
      <c r="AM7" s="38"/>
      <c r="AN7" s="7"/>
      <c r="AO7" s="593">
        <v>48</v>
      </c>
      <c r="AP7" s="277" t="s">
        <v>508</v>
      </c>
      <c r="AQ7" s="278"/>
      <c r="AR7" s="38"/>
      <c r="AS7" s="38"/>
      <c r="AT7" s="38"/>
      <c r="AU7" s="38"/>
      <c r="AV7" s="38"/>
      <c r="AW7" s="7"/>
      <c r="AX7" s="593">
        <v>12</v>
      </c>
      <c r="AY7" s="277" t="s">
        <v>508</v>
      </c>
      <c r="AZ7" s="278"/>
      <c r="BA7" s="38"/>
      <c r="BB7" s="38"/>
      <c r="BC7" s="38"/>
      <c r="BD7" s="38"/>
      <c r="BE7" s="38"/>
      <c r="BF7" s="7"/>
      <c r="BG7" s="592">
        <v>37</v>
      </c>
      <c r="BH7" s="103" t="s">
        <v>508</v>
      </c>
      <c r="BI7" s="280"/>
      <c r="BJ7" s="38"/>
      <c r="BK7" s="38"/>
      <c r="BL7" s="38"/>
      <c r="BM7" s="38"/>
      <c r="BN7" s="38"/>
      <c r="BO7" s="38"/>
      <c r="BP7" s="38"/>
      <c r="BQ7" s="592">
        <v>16</v>
      </c>
      <c r="BR7" s="103" t="s">
        <v>508</v>
      </c>
      <c r="BS7" s="280"/>
      <c r="BT7" s="38"/>
      <c r="BU7" s="38"/>
      <c r="BV7" s="38"/>
      <c r="BW7" s="38"/>
      <c r="BX7" s="38"/>
      <c r="BY7" s="38"/>
      <c r="BZ7" s="7"/>
      <c r="CA7" s="593">
        <v>20</v>
      </c>
      <c r="CB7" s="277" t="s">
        <v>508</v>
      </c>
      <c r="CC7" s="278"/>
      <c r="CD7" s="38"/>
      <c r="CE7" s="38"/>
      <c r="CF7" s="38"/>
      <c r="CG7" s="38"/>
      <c r="CH7" s="38"/>
      <c r="CI7" s="38"/>
      <c r="CJ7" s="7"/>
      <c r="CK7" s="593">
        <v>30</v>
      </c>
      <c r="CL7" s="277" t="s">
        <v>508</v>
      </c>
      <c r="CM7" s="278"/>
      <c r="CN7" s="38"/>
      <c r="CO7" s="38"/>
      <c r="CP7" s="38"/>
      <c r="CQ7" s="38"/>
      <c r="CR7" s="38"/>
      <c r="CS7" s="38"/>
      <c r="CT7" s="7"/>
      <c r="CU7" s="593">
        <v>48</v>
      </c>
      <c r="CV7" s="277" t="s">
        <v>508</v>
      </c>
      <c r="CW7" s="278"/>
      <c r="CX7" s="38"/>
      <c r="CY7" s="38"/>
      <c r="CZ7" s="38"/>
      <c r="DA7" s="38"/>
      <c r="DB7" s="38"/>
      <c r="DC7" s="38"/>
      <c r="DD7" s="7"/>
      <c r="DE7" s="593">
        <v>12</v>
      </c>
      <c r="DF7" s="277" t="s">
        <v>508</v>
      </c>
      <c r="DG7" s="278"/>
      <c r="DH7" s="38"/>
      <c r="DI7" s="38"/>
      <c r="DJ7" s="38"/>
      <c r="DK7" s="38"/>
      <c r="DL7" s="38"/>
      <c r="DM7" s="38"/>
      <c r="DN7" s="7"/>
    </row>
    <row r="8" spans="1:118" ht="13.5" thickBot="1" x14ac:dyDescent="0.25">
      <c r="C8" s="16"/>
      <c r="D8" s="710" t="s">
        <v>654</v>
      </c>
      <c r="E8" s="594" t="s">
        <v>509</v>
      </c>
      <c r="F8" s="595" t="s">
        <v>510</v>
      </c>
      <c r="G8" s="595" t="s">
        <v>511</v>
      </c>
      <c r="H8" s="595" t="s">
        <v>512</v>
      </c>
      <c r="I8" s="595" t="s">
        <v>513</v>
      </c>
      <c r="J8" s="595" t="s">
        <v>514</v>
      </c>
      <c r="K8" s="595"/>
      <c r="L8" s="595" t="s">
        <v>516</v>
      </c>
      <c r="M8" s="596" t="s">
        <v>517</v>
      </c>
      <c r="N8" s="594" t="s">
        <v>509</v>
      </c>
      <c r="O8" s="595" t="s">
        <v>510</v>
      </c>
      <c r="P8" s="595" t="s">
        <v>511</v>
      </c>
      <c r="Q8" s="595" t="s">
        <v>512</v>
      </c>
      <c r="R8" s="595" t="s">
        <v>513</v>
      </c>
      <c r="S8" s="595" t="s">
        <v>514</v>
      </c>
      <c r="T8" s="595" t="s">
        <v>515</v>
      </c>
      <c r="U8" s="595" t="s">
        <v>516</v>
      </c>
      <c r="V8" s="597" t="s">
        <v>517</v>
      </c>
      <c r="W8" s="594" t="s">
        <v>509</v>
      </c>
      <c r="X8" s="595" t="s">
        <v>510</v>
      </c>
      <c r="Y8" s="595" t="s">
        <v>511</v>
      </c>
      <c r="Z8" s="595" t="s">
        <v>512</v>
      </c>
      <c r="AA8" s="595" t="s">
        <v>513</v>
      </c>
      <c r="AB8" s="595" t="s">
        <v>514</v>
      </c>
      <c r="AC8" s="595" t="s">
        <v>515</v>
      </c>
      <c r="AD8" s="595" t="s">
        <v>516</v>
      </c>
      <c r="AE8" s="597" t="s">
        <v>517</v>
      </c>
      <c r="AF8" s="594" t="s">
        <v>509</v>
      </c>
      <c r="AG8" s="595" t="s">
        <v>510</v>
      </c>
      <c r="AH8" s="595" t="s">
        <v>511</v>
      </c>
      <c r="AI8" s="595" t="s">
        <v>512</v>
      </c>
      <c r="AJ8" s="595" t="s">
        <v>513</v>
      </c>
      <c r="AK8" s="595" t="s">
        <v>514</v>
      </c>
      <c r="AL8" s="595" t="s">
        <v>515</v>
      </c>
      <c r="AM8" s="595" t="s">
        <v>516</v>
      </c>
      <c r="AN8" s="597" t="s">
        <v>517</v>
      </c>
      <c r="AO8" s="594" t="s">
        <v>509</v>
      </c>
      <c r="AP8" s="595" t="s">
        <v>510</v>
      </c>
      <c r="AQ8" s="595" t="s">
        <v>511</v>
      </c>
      <c r="AR8" s="595" t="s">
        <v>512</v>
      </c>
      <c r="AS8" s="595" t="s">
        <v>513</v>
      </c>
      <c r="AT8" s="595" t="s">
        <v>514</v>
      </c>
      <c r="AU8" s="595" t="s">
        <v>515</v>
      </c>
      <c r="AV8" s="595" t="s">
        <v>516</v>
      </c>
      <c r="AW8" s="597" t="s">
        <v>517</v>
      </c>
      <c r="AX8" s="594" t="s">
        <v>509</v>
      </c>
      <c r="AY8" s="595" t="s">
        <v>510</v>
      </c>
      <c r="AZ8" s="595" t="s">
        <v>511</v>
      </c>
      <c r="BA8" s="595" t="s">
        <v>512</v>
      </c>
      <c r="BB8" s="595" t="s">
        <v>513</v>
      </c>
      <c r="BC8" s="595" t="s">
        <v>514</v>
      </c>
      <c r="BD8" s="595" t="s">
        <v>515</v>
      </c>
      <c r="BE8" s="595" t="s">
        <v>516</v>
      </c>
      <c r="BF8" s="597" t="s">
        <v>517</v>
      </c>
      <c r="BG8" s="594" t="s">
        <v>509</v>
      </c>
      <c r="BH8" s="595" t="s">
        <v>510</v>
      </c>
      <c r="BI8" s="595" t="s">
        <v>511</v>
      </c>
      <c r="BJ8" s="595" t="s">
        <v>512</v>
      </c>
      <c r="BK8" s="595" t="s">
        <v>513</v>
      </c>
      <c r="BL8" s="595" t="s">
        <v>518</v>
      </c>
      <c r="BM8" s="595" t="s">
        <v>514</v>
      </c>
      <c r="BN8" s="595" t="s">
        <v>515</v>
      </c>
      <c r="BO8" s="595" t="s">
        <v>516</v>
      </c>
      <c r="BP8" s="597" t="s">
        <v>517</v>
      </c>
      <c r="BQ8" s="594" t="s">
        <v>509</v>
      </c>
      <c r="BR8" s="595" t="s">
        <v>510</v>
      </c>
      <c r="BS8" s="595" t="s">
        <v>511</v>
      </c>
      <c r="BT8" s="595" t="s">
        <v>512</v>
      </c>
      <c r="BU8" s="595" t="s">
        <v>513</v>
      </c>
      <c r="BV8" s="595" t="s">
        <v>518</v>
      </c>
      <c r="BW8" s="595" t="s">
        <v>514</v>
      </c>
      <c r="BX8" s="595" t="s">
        <v>515</v>
      </c>
      <c r="BY8" s="595" t="s">
        <v>516</v>
      </c>
      <c r="BZ8" s="597" t="s">
        <v>517</v>
      </c>
      <c r="CA8" s="594" t="s">
        <v>509</v>
      </c>
      <c r="CB8" s="595" t="s">
        <v>510</v>
      </c>
      <c r="CC8" s="595" t="s">
        <v>511</v>
      </c>
      <c r="CD8" s="595" t="s">
        <v>512</v>
      </c>
      <c r="CE8" s="595" t="s">
        <v>513</v>
      </c>
      <c r="CF8" s="595" t="s">
        <v>518</v>
      </c>
      <c r="CG8" s="595" t="s">
        <v>514</v>
      </c>
      <c r="CH8" s="595" t="s">
        <v>515</v>
      </c>
      <c r="CI8" s="595" t="s">
        <v>516</v>
      </c>
      <c r="CJ8" s="597" t="s">
        <v>517</v>
      </c>
      <c r="CK8" s="594" t="s">
        <v>509</v>
      </c>
      <c r="CL8" s="595" t="s">
        <v>510</v>
      </c>
      <c r="CM8" s="595" t="s">
        <v>511</v>
      </c>
      <c r="CN8" s="595" t="s">
        <v>512</v>
      </c>
      <c r="CO8" s="595" t="s">
        <v>513</v>
      </c>
      <c r="CP8" s="595" t="s">
        <v>518</v>
      </c>
      <c r="CQ8" s="595" t="s">
        <v>514</v>
      </c>
      <c r="CR8" s="595" t="s">
        <v>515</v>
      </c>
      <c r="CS8" s="595" t="s">
        <v>516</v>
      </c>
      <c r="CT8" s="597" t="s">
        <v>517</v>
      </c>
      <c r="CU8" s="594" t="s">
        <v>509</v>
      </c>
      <c r="CV8" s="595" t="s">
        <v>510</v>
      </c>
      <c r="CW8" s="595" t="s">
        <v>511</v>
      </c>
      <c r="CX8" s="595" t="s">
        <v>512</v>
      </c>
      <c r="CY8" s="595" t="s">
        <v>513</v>
      </c>
      <c r="CZ8" s="595" t="s">
        <v>518</v>
      </c>
      <c r="DA8" s="595" t="s">
        <v>514</v>
      </c>
      <c r="DB8" s="595" t="s">
        <v>515</v>
      </c>
      <c r="DC8" s="595" t="s">
        <v>516</v>
      </c>
      <c r="DD8" s="597" t="s">
        <v>517</v>
      </c>
      <c r="DE8" s="594" t="s">
        <v>509</v>
      </c>
      <c r="DF8" s="595" t="s">
        <v>510</v>
      </c>
      <c r="DG8" s="595" t="s">
        <v>511</v>
      </c>
      <c r="DH8" s="595" t="s">
        <v>512</v>
      </c>
      <c r="DI8" s="595" t="s">
        <v>513</v>
      </c>
      <c r="DJ8" s="595" t="s">
        <v>518</v>
      </c>
      <c r="DK8" s="595" t="s">
        <v>514</v>
      </c>
      <c r="DL8" s="595" t="s">
        <v>515</v>
      </c>
      <c r="DM8" s="595" t="s">
        <v>516</v>
      </c>
      <c r="DN8" s="597" t="s">
        <v>517</v>
      </c>
    </row>
    <row r="9" spans="1:118" x14ac:dyDescent="0.2">
      <c r="A9">
        <v>1</v>
      </c>
      <c r="C9" s="496">
        <v>1.5</v>
      </c>
      <c r="D9" s="598" t="s">
        <v>41</v>
      </c>
      <c r="E9" s="711">
        <v>0.42</v>
      </c>
      <c r="F9" s="599">
        <f>$C9*12+$D$48-E$7/3</f>
        <v>22.166666666666664</v>
      </c>
      <c r="G9" s="599">
        <f>1.25*(($D$49/12*$D$53*(F9/12)^2/2+0.5*($D$50-$D$49)/12*$D$53*(F9/12)^2/3)*12/1000+$D$51*(F9-5.7)/12*12/1000)</f>
        <v>9.6554273485725304</v>
      </c>
      <c r="H9" s="599">
        <f t="shared" ref="H9:H12" si="0">1.5*($D$52*((F9-$D$48)/12)^2/2*12/1000)</f>
        <v>2.0069444444444431E-2</v>
      </c>
      <c r="I9" s="599">
        <f>0.5*1.33*1.2*(F9-$D$48-12)</f>
        <v>-5.054000000000002</v>
      </c>
      <c r="J9" s="599">
        <f>G9+H9+0+$D$54</f>
        <v>115.59549679301698</v>
      </c>
      <c r="K9" s="599">
        <f t="shared" ref="K9:K12" si="1">12*(((E9/12)*$D$56*($D$58-(((E9/12)*$D$56)/(1.7*$D$57))))-(($D$55/12)*(($D$58/2)-(((E9/12)*$D$56)/(1.7*$D$57)))))</f>
        <v>126.25680147058821</v>
      </c>
      <c r="L9" s="599">
        <f t="shared" ref="L9:L12" si="2">IF(K9&gt;J9,1,0)</f>
        <v>1</v>
      </c>
      <c r="M9" s="608">
        <f>INT(12*0.31/E9*4)/4</f>
        <v>8.75</v>
      </c>
      <c r="N9" s="714">
        <v>0.42</v>
      </c>
      <c r="O9" s="599">
        <f>$C9*12+$D$48-N$7/3</f>
        <v>29.166666666666668</v>
      </c>
      <c r="P9" s="599">
        <f t="shared" ref="P9:P12" si="3">1.25*(($D$49/12*$D$53*(O9/12)^2/2+0.5*($D$50-$D$49)/12*$D$53*(O9/12)^2/3)*12/1000+$D$51*(O9-5.7)/12*12/1000)</f>
        <v>14.51053903838735</v>
      </c>
      <c r="Q9" s="599">
        <f t="shared" ref="Q9:Q12" si="4">1.5*($D$52*((O9-$D$48)/12)^2/2*12/1000)</f>
        <v>0.10027777777777779</v>
      </c>
      <c r="R9" s="599">
        <f t="shared" ref="R9:R12" si="5">0.5*1.33*1.2*(O9-$D$48-12)</f>
        <v>0.53200000000000103</v>
      </c>
      <c r="S9" s="599">
        <f t="shared" ref="S9:S12" si="6">P9+Q9+R9+$D$54</f>
        <v>121.06281681616514</v>
      </c>
      <c r="T9" s="599">
        <f t="shared" ref="T9:T12" si="7">12*(((N9/12)*$D$56*($D$58-(((N9/12)*$D$56)/(1.7*$D$57))))-(($D$55/12)*(($D$58/2)-(((N9/12)*$D$56)/(1.7*$D$57)))))</f>
        <v>126.25680147058821</v>
      </c>
      <c r="U9" s="599">
        <f t="shared" ref="U9:U12" si="8">IF(T9&gt;S9,1,0)</f>
        <v>1</v>
      </c>
      <c r="V9" s="608">
        <f>INT(12*0.31/N9*4)/4</f>
        <v>8.75</v>
      </c>
      <c r="W9" s="717">
        <v>0.42</v>
      </c>
      <c r="X9" s="599">
        <f>$C9*12+$D$48-W$7/3</f>
        <v>27.833333333333332</v>
      </c>
      <c r="Y9" s="599">
        <f t="shared" ref="Y9:Y12" si="9">1.25*(($D$49/12*$D$53*(X9/12)^2/2+0.5*($D$50-$D$49)/12*$D$53*(X9/12)^2/3)*12/1000+$D$51*(X9-5.7)/12*12/1000)</f>
        <v>13.5480633439429</v>
      </c>
      <c r="Z9" s="599">
        <f t="shared" ref="Z9:Z12" si="10">1.5*($D$52*((X9-$D$48)/12)^2/2*12/1000)</f>
        <v>8.0277777777777753E-2</v>
      </c>
      <c r="AA9" s="599">
        <f t="shared" ref="AA9:AA12" si="11">0.5*1.33*1.2*(X9-$D$48-12)</f>
        <v>-0.53200000000000103</v>
      </c>
      <c r="AB9" s="599">
        <f t="shared" ref="AB9:AB12" si="12">Y9+Z9+AA9+$D$54</f>
        <v>119.01634112172067</v>
      </c>
      <c r="AC9" s="599">
        <f t="shared" ref="AC9:AC12" si="13">12*(((W9/12)*$D$56*($D$58-(((W9/12)*$D$56)/(1.7*$D$57))))-(($D$55/12)*(($D$58/2)-(((W9/12)*$D$56)/(1.7*$D$57)))))</f>
        <v>126.25680147058821</v>
      </c>
      <c r="AD9" s="599">
        <f t="shared" ref="AD9:AD12" si="14">IF(AC9&gt;AB9,1,0)</f>
        <v>1</v>
      </c>
      <c r="AE9" s="608">
        <f>INT(12*0.31/W9*4)/4</f>
        <v>8.75</v>
      </c>
      <c r="AF9" s="717">
        <v>0.42</v>
      </c>
      <c r="AG9" s="599">
        <f>$C9*12+$D$48-AF$7/3</f>
        <v>24.5</v>
      </c>
      <c r="AH9" s="599">
        <f t="shared" ref="AH9:AH12" si="15">1.25*(($D$49/12*$D$53*(AG9/12)^2/2+0.5*($D$50-$D$49)/12*$D$53*(AG9/12)^2/3)*12/1000+$D$51*(AG9-5.7)/12*12/1000)</f>
        <v>11.219476345486111</v>
      </c>
      <c r="AI9" s="599">
        <f t="shared" ref="AI9:AI12" si="16">1.5*($D$52*((AG9-$D$48)/12)^2/2*12/1000)</f>
        <v>0.04</v>
      </c>
      <c r="AJ9" s="599">
        <f t="shared" ref="AJ9:AJ12" si="17">0.5*1.33*1.2*(AG9-$D$48-12)</f>
        <v>-3.1920000000000002</v>
      </c>
      <c r="AK9" s="599">
        <f t="shared" ref="AK9:AK12" si="18">AH9+AI9+AJ9+$D$54</f>
        <v>113.98747634548612</v>
      </c>
      <c r="AL9" s="599">
        <f t="shared" ref="AL9:AL12" si="19">12*(((AF9/12)*$D$56*($D$58-(((AF9/12)*$D$56)/(1.7*$D$57))))-(($D$55/12)*(($D$58/2)-(((AF9/12)*$D$56)/(1.7*$D$57)))))</f>
        <v>126.25680147058821</v>
      </c>
      <c r="AM9" s="599">
        <f t="shared" ref="AM9:AM12" si="20">IF(AL9&gt;AK9,1,0)</f>
        <v>1</v>
      </c>
      <c r="AN9" s="608">
        <f>INT(12*0.31/AF9*4)/4</f>
        <v>8.75</v>
      </c>
      <c r="AO9" s="717">
        <v>0.42</v>
      </c>
      <c r="AP9" s="599">
        <f>$C9*12+$D$48-AO$7/3</f>
        <v>18.5</v>
      </c>
      <c r="AQ9" s="599">
        <f t="shared" ref="AQ9:AQ12" si="21">1.25*(($D$49/12*$D$53*(AP9/12)^2/2+0.5*($D$50-$D$49)/12*$D$53*(AP9/12)^2/3)*12/1000+$D$51*(AP9-5.7)/12*12/1000)</f>
        <v>7.3073878038194451</v>
      </c>
      <c r="AR9" s="599">
        <f t="shared" ref="AR9:AR12" si="22">1.5*($D$52*((AP9-$D$48)/12)^2/2*12/1000)</f>
        <v>2.5000000000000001E-3</v>
      </c>
      <c r="AS9" s="599">
        <f t="shared" ref="AS9:AS12" si="23">0.5*1.33*1.2*(AP9-$D$48-12)</f>
        <v>-7.98</v>
      </c>
      <c r="AT9" s="599">
        <f t="shared" ref="AT9:AT12" si="24">AQ9+AR9+AS9+$D$54</f>
        <v>105.24988780381945</v>
      </c>
      <c r="AU9" s="599">
        <f t="shared" ref="AU9:AU12" si="25">12*(((AO9/12)*$D$56*($D$58-(((AO9/12)*$D$56)/(1.7*$D$57))))-(($D$55/12)*(($D$58/2)-(((AO9/12)*$D$56)/(1.7*$D$57)))))</f>
        <v>126.25680147058821</v>
      </c>
      <c r="AV9" s="599">
        <f t="shared" ref="AV9:AV12" si="26">IF(AU9&gt;AT9,1,0)</f>
        <v>1</v>
      </c>
      <c r="AW9" s="608">
        <f>INT(12*0.31/AO9*4)/4</f>
        <v>8.75</v>
      </c>
      <c r="AX9" s="717">
        <v>0.42</v>
      </c>
      <c r="AY9" s="599">
        <f>$C9*12+$D$48-AX$7/3</f>
        <v>30.5</v>
      </c>
      <c r="AZ9" s="599">
        <f t="shared" ref="AZ9:AZ12" si="27">1.25*(($D$49/12*$D$53*(AY9/12)^2/2+0.5*($D$50-$D$49)/12*$D$53*(AY9/12)^2/3)*12/1000+$D$51*(AY9-5.7)/12*12/1000)</f>
        <v>15.490752387152774</v>
      </c>
      <c r="BA9" s="599">
        <f t="shared" ref="BA9:BA12" si="28">1.5*($D$52*((AY9-$D$48)/12)^2/2*12/1000)</f>
        <v>0.12250000000000003</v>
      </c>
      <c r="BB9" s="599">
        <f t="shared" ref="BB9:BB12" si="29">0.5*1.33*1.2*(AY9-$D$48-12)</f>
        <v>1.5960000000000001</v>
      </c>
      <c r="BC9" s="599">
        <f t="shared" ref="BC9:BC12" si="30">AZ9+BA9+BB9+$D$54</f>
        <v>123.12925238715277</v>
      </c>
      <c r="BD9" s="599">
        <f t="shared" ref="BD9:BD12" si="31">12*(((AX9/12)*$D$56*($D$58-(((AX9/12)*$D$56)/(1.7*$D$57))))-(($D$55/12)*(($D$58/2)-(((AX9/12)*$D$56)/(1.7*$D$57)))))</f>
        <v>126.25680147058821</v>
      </c>
      <c r="BE9" s="599">
        <f t="shared" ref="BE9:BE12" si="32">IF(BD9&gt;BC9,1,0)</f>
        <v>1</v>
      </c>
      <c r="BF9" s="608">
        <f>INT(12*0.31/AX9*4)/4</f>
        <v>8.75</v>
      </c>
      <c r="BG9" s="717">
        <v>0.67900000000000005</v>
      </c>
      <c r="BH9" s="599">
        <f t="shared" ref="BH9:BH46" si="33">$C9*12+$D$63-BG$7/3</f>
        <v>25.666666666666664</v>
      </c>
      <c r="BI9" s="584">
        <f t="shared" ref="BI9:BI46" si="34">1.25*(($D$49/12*$D$53*(BH9/12)^2/2+0.5*($D$50-$D$49)/12*$D$53*(BH9/12)^2/3)*12/1000+$D$64*(BH9-11.5)/12*12/1000)</f>
        <v>6.0702047646604935</v>
      </c>
      <c r="BJ9" s="599">
        <f t="shared" ref="BJ9:BJ46" si="35">1.5*($D$52*((BH9-$D$63)/12)^2/2*12/1000)</f>
        <v>2.0069444444444431E-2</v>
      </c>
      <c r="BK9" s="599">
        <f t="shared" ref="BK9:BK46" si="36">0.5*1.33*1.2*(BH9-$D$63-12)</f>
        <v>-5.054000000000002</v>
      </c>
      <c r="BL9" s="599">
        <f t="shared" ref="BL9:BL46" si="37">12*$D$65/(MIN((2*($CL9-5.75)+14.5),(111)))</f>
        <v>183.27254237288136</v>
      </c>
      <c r="BM9" s="584">
        <f>BI9+BJ9+BK9+BL9</f>
        <v>184.30881658198629</v>
      </c>
      <c r="BN9" s="584">
        <f t="shared" ref="BN9:BN46" si="38">12*(((BG9/12)*$D$56*($D$58-(((BG9/12)*$D$56)/(1.7*$D$57))))-(($D$66/12)*(($D$58/2)-(((BG9/12)*$D$56)/(1.7*$D$57)))))</f>
        <v>184.60395588235298</v>
      </c>
      <c r="BO9" s="599">
        <f t="shared" ref="BO9:BO12" si="39">IF(BN9&gt;BM9,1,0)</f>
        <v>1</v>
      </c>
      <c r="BP9" s="608">
        <f t="shared" ref="BP9:BP27" si="40">INT(12*0.31/BG9*4)/4</f>
        <v>5.25</v>
      </c>
      <c r="BQ9" s="717">
        <v>0.70900000000000007</v>
      </c>
      <c r="BR9" s="599">
        <f t="shared" ref="BR9:BR46" si="41">$C9*12+$D$63-BQ$7/3</f>
        <v>32.666666666666664</v>
      </c>
      <c r="BS9" s="584">
        <f t="shared" ref="BS9:BS46" si="42">1.25*(($D$49/12*$D$53*(BR9/12)^2/2+0.5*($D$50-$D$49)/12*$D$53*(BR9/12)^2/3)*12/1000+$D$64*(BR9-11.5)/12*12/1000)</f>
        <v>9.4827635030864155</v>
      </c>
      <c r="BT9" s="599">
        <f t="shared" ref="BT9:BT46" si="43">1.5*($D$52*((BR9-$D$63)/12)^2/2*12/1000)</f>
        <v>0.10027777777777772</v>
      </c>
      <c r="BU9" s="599">
        <f t="shared" ref="BU9:BU46" si="44">0.5*1.33*1.2*(BR9-$D$63-12)</f>
        <v>0.53199999999999814</v>
      </c>
      <c r="BV9" s="599">
        <f t="shared" ref="BV9:BV46" si="45">12*$D$65/(MIN((2*($CL9-5.75)+14.5),(111)))</f>
        <v>183.27254237288136</v>
      </c>
      <c r="BW9" s="584">
        <f t="shared" ref="BW9:BW12" si="46">BS9+BT9+BU9+BV9</f>
        <v>193.38758365374557</v>
      </c>
      <c r="BX9" s="584">
        <f t="shared" ref="BX9:BX46" si="47">12*(((BQ9/12)*$D$56*($D$58-(((BQ9/12)*$D$56)/(1.7*$D$57))))-(($D$66/12)*(($D$58/2)-(((BQ9/12)*$D$56)/(1.7*$D$57)))))</f>
        <v>193.65314705882358</v>
      </c>
      <c r="BY9" s="599">
        <f t="shared" ref="BY9:BY12" si="48">IF(BX9&gt;BW9,1,0)</f>
        <v>1</v>
      </c>
      <c r="BZ9" s="608">
        <f t="shared" ref="BZ9:BZ27" si="49">INT(12*0.31/BQ9*4)/4</f>
        <v>5</v>
      </c>
      <c r="CA9" s="718">
        <v>0.70300000000000007</v>
      </c>
      <c r="CB9" s="599">
        <f t="shared" ref="CB9:CB46" si="50">$C9*12+$D$63-CA$7/3</f>
        <v>31.333333333333332</v>
      </c>
      <c r="CC9" s="584">
        <f t="shared" ref="CC9:CC46" si="51">1.25*(($D$49/12*$D$53*(CB9/12)^2/2+0.5*($D$50-$D$49)/12*$D$53*(CB9/12)^2/3)*12/1000+$D$64*(CB9-11.5)/12*12/1000)</f>
        <v>8.7950597993827166</v>
      </c>
      <c r="CD9" s="599">
        <f t="shared" ref="CD9:CD46" si="52">1.5*($D$52*((CB9-$D$63)/12)^2/2*12/1000)</f>
        <v>8.0277777777777753E-2</v>
      </c>
      <c r="CE9" s="599">
        <f t="shared" ref="CE9:CE46" si="53">0.5*1.33*1.2*(CB9-$D$63-12)</f>
        <v>-0.53200000000000103</v>
      </c>
      <c r="CF9" s="599">
        <f t="shared" ref="CF9:CF46" si="54">12*$D$65/(MIN((2*($CL9-5.75)+14.5),(111)))</f>
        <v>183.27254237288136</v>
      </c>
      <c r="CG9" s="584">
        <f t="shared" ref="CG9:CG12" si="55">CC9+CD9+CE9+CF9</f>
        <v>191.61587995004186</v>
      </c>
      <c r="CH9" s="584">
        <f t="shared" ref="CH9:CH46" si="56">12*(((CA9/12)*$D$56*($D$58-(((CA9/12)*$D$56)/(1.7*$D$57))))-(($D$66/12)*(($D$58/2)-(((CA9/12)*$D$56)/(1.7*$D$57)))))</f>
        <v>191.84966176470596</v>
      </c>
      <c r="CI9" s="599">
        <f t="shared" ref="CI9:CI12" si="57">IF(CH9&gt;CG9,1,0)</f>
        <v>1</v>
      </c>
      <c r="CJ9" s="608">
        <f t="shared" ref="CJ9:CJ27" si="58">INT(12*0.31/CA9*4)/4</f>
        <v>5.25</v>
      </c>
      <c r="CK9" s="717">
        <v>0.68800000000000006</v>
      </c>
      <c r="CL9" s="599">
        <f t="shared" ref="CL9:CL46" si="59">$C9*12+$D$63-CK$7/3</f>
        <v>28</v>
      </c>
      <c r="CM9" s="584">
        <f t="shared" ref="CM9:CM46" si="60">1.25*(($D$49/12*$D$53*(CL9/12)^2/2+0.5*($D$50-$D$49)/12*$D$53*(CL9/12)^2/3)*12/1000+$D$64*(CL9-11.5)/12*12/1000)</f>
        <v>7.153402777777778</v>
      </c>
      <c r="CN9" s="599">
        <f t="shared" ref="CN9:CN46" si="61">1.5*($D$52*((CL9-$D$63)/12)^2/2*12/1000)</f>
        <v>0.04</v>
      </c>
      <c r="CO9" s="599">
        <f t="shared" ref="CO9:CO46" si="62">0.5*1.33*1.2*(CL9-$D$63-12)</f>
        <v>-3.1920000000000002</v>
      </c>
      <c r="CP9" s="599">
        <f t="shared" ref="CP9:CP46" si="63">12*$D$65/(MIN((2*($CL9-5.75)+14.5),(111)))</f>
        <v>183.27254237288136</v>
      </c>
      <c r="CQ9" s="584">
        <f t="shared" ref="CQ9:CQ12" si="64">CM9+CN9+CO9+CP9</f>
        <v>187.27394515065913</v>
      </c>
      <c r="CR9" s="584">
        <f t="shared" ref="CR9:CR46" si="65">12*(((CK9/12)*$D$56*($D$58-(((CK9/12)*$D$56)/(1.7*$D$57))))-(($D$66/12)*(($D$58/2)-(((CK9/12)*$D$56)/(1.7*$D$57)))))</f>
        <v>187.32705147058826</v>
      </c>
      <c r="CS9" s="599">
        <f t="shared" ref="CS9:CS12" si="66">IF(CR9&gt;CQ9,1,0)</f>
        <v>1</v>
      </c>
      <c r="CT9" s="608">
        <f t="shared" ref="CT9:CT27" si="67">INT(12*0.31/CK9*4)/4</f>
        <v>5.25</v>
      </c>
      <c r="CU9" s="717">
        <v>0.66400000000000003</v>
      </c>
      <c r="CV9" s="599">
        <f t="shared" ref="CV9:CV46" si="68">$C9*12+$D$63-CU$7/3</f>
        <v>22</v>
      </c>
      <c r="CW9" s="584">
        <f t="shared" ref="CW9:CW46" si="69">1.25*(($D$49/12*$D$53*(CV9/12)^2/2+0.5*($D$50-$D$49)/12*$D$53*(CV9/12)^2/3)*12/1000+$D$64*(CV9-11.5)/12*12/1000)</f>
        <v>4.477788194444444</v>
      </c>
      <c r="CX9" s="599">
        <f t="shared" ref="CX9:CX46" si="70">1.5*($D$52*((CV9-$D$63)/12)^2/2*12/1000)</f>
        <v>2.5000000000000001E-3</v>
      </c>
      <c r="CY9" s="599">
        <f t="shared" ref="CY9:CY46" si="71">0.5*1.33*1.2*(CV9-$D$63-12)</f>
        <v>-7.98</v>
      </c>
      <c r="CZ9" s="599">
        <f t="shared" ref="CZ9:CZ46" si="72">12*$D$65/(MIN((2*($CL9-5.75)+14.5),(111)))</f>
        <v>183.27254237288136</v>
      </c>
      <c r="DA9" s="584">
        <f t="shared" ref="DA9:DA12" si="73">CW9+CX9+CY9+CZ9</f>
        <v>179.7728305673258</v>
      </c>
      <c r="DB9" s="584">
        <f t="shared" ref="DB9:DB46" si="74">12*(((CU9/12)*$D$56*($D$58-(((CU9/12)*$D$56)/(1.7*$D$57))))-(($D$66/12)*(($D$58/2)-(((CU9/12)*$D$56)/(1.7*$D$57)))))</f>
        <v>180.04958088235298</v>
      </c>
      <c r="DC9" s="599">
        <f t="shared" ref="DC9:DC12" si="75">IF(DB9&gt;DA9,1,0)</f>
        <v>1</v>
      </c>
      <c r="DD9" s="608">
        <f t="shared" ref="DD9:DD27" si="76">INT(12*0.31/CU9*4)/4</f>
        <v>5.5</v>
      </c>
      <c r="DE9" s="717">
        <v>0.71500000000000008</v>
      </c>
      <c r="DF9" s="599">
        <f t="shared" ref="DF9:DF46" si="77">$C9*12+$D$63-DE$7/3</f>
        <v>34</v>
      </c>
      <c r="DG9" s="584">
        <f t="shared" ref="DG9:DG46" si="78">1.25*(($D$49/12*$D$53*(DF9/12)^2/2+0.5*($D$50-$D$49)/12*$D$53*(DF9/12)^2/3)*12/1000+$D$64*(DF9-11.5)/12*12/1000)</f>
        <v>10.18820486111111</v>
      </c>
      <c r="DH9" s="599">
        <f t="shared" ref="DH9:DH46" si="79">1.5*($D$52*((DF9-$D$63)/12)^2/2*12/1000)</f>
        <v>0.12250000000000003</v>
      </c>
      <c r="DI9" s="599">
        <f t="shared" ref="DI9:DI46" si="80">0.5*1.33*1.2*(DF9-$D$63-12)</f>
        <v>1.5960000000000001</v>
      </c>
      <c r="DJ9" s="599">
        <f t="shared" ref="DJ9:DJ46" si="81">12*$D$65/(MIN((2*($CL9-5.75)+14.5),(111)))</f>
        <v>183.27254237288136</v>
      </c>
      <c r="DK9" s="584">
        <f t="shared" ref="DK9:DK12" si="82">DG9+DH9+DI9+DJ9</f>
        <v>195.17924723399247</v>
      </c>
      <c r="DL9" s="584">
        <f t="shared" ref="DL9:DL46" si="83">12*(((DE9/12)*$D$56*($D$58-(((DE9/12)*$D$56)/(1.7*$D$57))))-(($D$66/12)*(($D$58/2)-(((DE9/12)*$D$56)/(1.7*$D$57)))))</f>
        <v>195.45345588235301</v>
      </c>
      <c r="DM9" s="599">
        <f t="shared" ref="DM9:DM12" si="84">IF(DL9&gt;DK9,1,0)</f>
        <v>1</v>
      </c>
      <c r="DN9" s="608">
        <f t="shared" ref="DN9:DN27" si="85">INT(12*0.31/DE9*4)/4</f>
        <v>5</v>
      </c>
    </row>
    <row r="10" spans="1:118" x14ac:dyDescent="0.2">
      <c r="A10">
        <v>2</v>
      </c>
      <c r="C10" s="497">
        <v>1.75</v>
      </c>
      <c r="D10" s="600" t="s">
        <v>41</v>
      </c>
      <c r="E10" s="712">
        <v>0.42</v>
      </c>
      <c r="F10" s="584">
        <f t="shared" ref="F10:F46" si="86">$C10*12+$D$48-E$7/3</f>
        <v>25.166666666666664</v>
      </c>
      <c r="G10" s="584">
        <f t="shared" ref="G10:G12" si="87">1.25*(($D$49/12*$D$53*(F10/12)^2/2+0.5*($D$50-$D$49)/12*$D$53*(F10/12)^2/3)*12/1000+$D$51*(F10-5.7)/12*12/1000)</f>
        <v>11.676324918016972</v>
      </c>
      <c r="H10" s="584">
        <f t="shared" si="0"/>
        <v>4.6944444444444414E-2</v>
      </c>
      <c r="I10" s="584">
        <f t="shared" ref="I10:I12" si="88">0.5*1.33*1.2*(F10-$D$48-12)</f>
        <v>-2.6600000000000019</v>
      </c>
      <c r="J10" s="584">
        <f>G10+H10+0+$D$54</f>
        <v>117.64326936246141</v>
      </c>
      <c r="K10" s="584">
        <f t="shared" si="1"/>
        <v>126.25680147058821</v>
      </c>
      <c r="L10" s="584">
        <f t="shared" si="2"/>
        <v>1</v>
      </c>
      <c r="M10" s="609">
        <f t="shared" ref="M10:M27" si="89">INT(12*0.31/E10*4)/4</f>
        <v>8.75</v>
      </c>
      <c r="N10" s="715">
        <v>0.42</v>
      </c>
      <c r="O10" s="584">
        <f t="shared" ref="O10:O46" si="90">$C10*12+$D$48-N$7/3</f>
        <v>32.166666666666664</v>
      </c>
      <c r="P10" s="584">
        <f t="shared" si="3"/>
        <v>16.740962649498453</v>
      </c>
      <c r="Q10" s="584">
        <f t="shared" si="4"/>
        <v>0.15340277777777778</v>
      </c>
      <c r="R10" s="584">
        <f t="shared" si="5"/>
        <v>2.9259999999999984</v>
      </c>
      <c r="S10" s="584">
        <f t="shared" si="6"/>
        <v>125.74036542727623</v>
      </c>
      <c r="T10" s="584">
        <f t="shared" si="7"/>
        <v>126.25680147058821</v>
      </c>
      <c r="U10" s="584">
        <f t="shared" si="8"/>
        <v>1</v>
      </c>
      <c r="V10" s="609">
        <f t="shared" ref="V10:V27" si="91">INT(12*0.31/N10*4)/4</f>
        <v>8.75</v>
      </c>
      <c r="W10" s="718">
        <v>0.42</v>
      </c>
      <c r="X10" s="584">
        <f t="shared" ref="X10:X46" si="92">$C10*12+$D$48-W$7/3</f>
        <v>30.833333333333332</v>
      </c>
      <c r="Y10" s="584">
        <f t="shared" si="9"/>
        <v>15.738577232831791</v>
      </c>
      <c r="Z10" s="584">
        <f t="shared" si="10"/>
        <v>0.12840277777777775</v>
      </c>
      <c r="AA10" s="584">
        <f t="shared" si="11"/>
        <v>1.8619999999999992</v>
      </c>
      <c r="AB10" s="584">
        <f t="shared" si="12"/>
        <v>123.64898001060956</v>
      </c>
      <c r="AC10" s="584">
        <f t="shared" si="13"/>
        <v>126.25680147058821</v>
      </c>
      <c r="AD10" s="584">
        <f t="shared" si="14"/>
        <v>1</v>
      </c>
      <c r="AE10" s="609">
        <f t="shared" ref="AE10:AE27" si="93">INT(12*0.31/W10*4)/4</f>
        <v>8.75</v>
      </c>
      <c r="AF10" s="718">
        <v>0.42</v>
      </c>
      <c r="AG10" s="584">
        <f t="shared" ref="AG10:AG46" si="94">$C10*12+$D$48-AF$7/3</f>
        <v>27.5</v>
      </c>
      <c r="AH10" s="584">
        <f t="shared" si="15"/>
        <v>13.310215928819444</v>
      </c>
      <c r="AI10" s="584">
        <f t="shared" si="16"/>
        <v>7.5624999999999984E-2</v>
      </c>
      <c r="AJ10" s="584">
        <f t="shared" si="17"/>
        <v>-0.79800000000000004</v>
      </c>
      <c r="AK10" s="584">
        <f t="shared" si="18"/>
        <v>118.50784092881945</v>
      </c>
      <c r="AL10" s="584">
        <f t="shared" si="19"/>
        <v>126.25680147058821</v>
      </c>
      <c r="AM10" s="584">
        <f t="shared" si="20"/>
        <v>1</v>
      </c>
      <c r="AN10" s="609">
        <f t="shared" ref="AN10:AN27" si="95">INT(12*0.31/AF10*4)/4</f>
        <v>8.75</v>
      </c>
      <c r="AO10" s="718">
        <v>0.42</v>
      </c>
      <c r="AP10" s="584">
        <f t="shared" ref="AP10:AP46" si="96">$C10*12+$D$48-AO$7/3</f>
        <v>21.5</v>
      </c>
      <c r="AQ10" s="584">
        <f t="shared" si="21"/>
        <v>9.2185336371527775</v>
      </c>
      <c r="AR10" s="584">
        <f t="shared" si="22"/>
        <v>1.5625E-2</v>
      </c>
      <c r="AS10" s="584">
        <f t="shared" si="23"/>
        <v>-5.5860000000000003</v>
      </c>
      <c r="AT10" s="584">
        <f t="shared" si="24"/>
        <v>109.56815863715278</v>
      </c>
      <c r="AU10" s="584">
        <f t="shared" si="25"/>
        <v>126.25680147058821</v>
      </c>
      <c r="AV10" s="584">
        <f t="shared" si="26"/>
        <v>1</v>
      </c>
      <c r="AW10" s="609">
        <f t="shared" ref="AW10:AW27" si="97">INT(12*0.31/AO10*4)/4</f>
        <v>8.75</v>
      </c>
      <c r="AX10" s="718">
        <v>0.42499999999999999</v>
      </c>
      <c r="AY10" s="584">
        <f t="shared" ref="AY10:AY46" si="98">$C10*12+$D$48-AX$7/3</f>
        <v>33.5</v>
      </c>
      <c r="AZ10" s="584">
        <f t="shared" si="27"/>
        <v>17.761085720486108</v>
      </c>
      <c r="BA10" s="584">
        <f t="shared" si="28"/>
        <v>0.18062500000000004</v>
      </c>
      <c r="BB10" s="584">
        <f t="shared" si="29"/>
        <v>3.99</v>
      </c>
      <c r="BC10" s="584">
        <f t="shared" si="30"/>
        <v>127.85171072048611</v>
      </c>
      <c r="BD10" s="584">
        <f t="shared" si="31"/>
        <v>127.85249999999999</v>
      </c>
      <c r="BE10" s="584">
        <f t="shared" si="32"/>
        <v>1</v>
      </c>
      <c r="BF10" s="609">
        <f t="shared" ref="BF10:BF27" si="99">INT(12*0.31/AX10*4)/4</f>
        <v>8.75</v>
      </c>
      <c r="BG10" s="717">
        <v>0.63600000000000001</v>
      </c>
      <c r="BH10" s="599">
        <f t="shared" si="33"/>
        <v>28.666666666666664</v>
      </c>
      <c r="BI10" s="584">
        <f t="shared" si="34"/>
        <v>7.4728653549382695</v>
      </c>
      <c r="BJ10" s="584">
        <f t="shared" si="35"/>
        <v>4.6944444444444414E-2</v>
      </c>
      <c r="BK10" s="599">
        <f t="shared" si="36"/>
        <v>-2.6600000000000019</v>
      </c>
      <c r="BL10" s="599">
        <f t="shared" si="37"/>
        <v>166.35507692307692</v>
      </c>
      <c r="BM10" s="584">
        <f t="shared" ref="BM10:BM12" si="100">BI10+BJ10+BK10+BL10</f>
        <v>171.21488672245962</v>
      </c>
      <c r="BN10" s="584">
        <f t="shared" si="38"/>
        <v>171.49496323529411</v>
      </c>
      <c r="BO10" s="584">
        <f t="shared" si="39"/>
        <v>1</v>
      </c>
      <c r="BP10" s="609">
        <f t="shared" si="40"/>
        <v>5.75</v>
      </c>
      <c r="BQ10" s="718">
        <v>0.66600000000000004</v>
      </c>
      <c r="BR10" s="599">
        <f t="shared" si="41"/>
        <v>35.666666666666664</v>
      </c>
      <c r="BS10" s="584">
        <f t="shared" si="42"/>
        <v>11.09495013503086</v>
      </c>
      <c r="BT10" s="584">
        <f t="shared" si="43"/>
        <v>0.15340277777777778</v>
      </c>
      <c r="BU10" s="599">
        <f t="shared" si="44"/>
        <v>2.9259999999999984</v>
      </c>
      <c r="BV10" s="599">
        <f t="shared" si="45"/>
        <v>166.35507692307692</v>
      </c>
      <c r="BW10" s="584">
        <f t="shared" si="46"/>
        <v>180.52942983588557</v>
      </c>
      <c r="BX10" s="584">
        <f t="shared" si="47"/>
        <v>180.65797794117645</v>
      </c>
      <c r="BY10" s="584">
        <f t="shared" si="48"/>
        <v>1</v>
      </c>
      <c r="BZ10" s="609">
        <f t="shared" si="49"/>
        <v>5.5</v>
      </c>
      <c r="CA10" s="718">
        <v>0.66</v>
      </c>
      <c r="CB10" s="599">
        <f t="shared" si="50"/>
        <v>34.333333333333336</v>
      </c>
      <c r="CC10" s="584">
        <f t="shared" si="51"/>
        <v>10.36733670910494</v>
      </c>
      <c r="CD10" s="584">
        <f t="shared" si="52"/>
        <v>0.12840277777777781</v>
      </c>
      <c r="CE10" s="599">
        <f t="shared" si="53"/>
        <v>1.8620000000000021</v>
      </c>
      <c r="CF10" s="599">
        <f t="shared" si="54"/>
        <v>166.35507692307692</v>
      </c>
      <c r="CG10" s="584">
        <f t="shared" si="55"/>
        <v>178.71281640995963</v>
      </c>
      <c r="CH10" s="584">
        <f t="shared" si="56"/>
        <v>178.83172794117647</v>
      </c>
      <c r="CI10" s="584">
        <f t="shared" si="57"/>
        <v>1</v>
      </c>
      <c r="CJ10" s="609">
        <f t="shared" si="58"/>
        <v>5.5</v>
      </c>
      <c r="CK10" s="717">
        <v>0.64600000000000002</v>
      </c>
      <c r="CL10" s="599">
        <f t="shared" si="59"/>
        <v>31</v>
      </c>
      <c r="CM10" s="584">
        <f t="shared" si="60"/>
        <v>8.6259053819444436</v>
      </c>
      <c r="CN10" s="584">
        <f t="shared" si="61"/>
        <v>7.5624999999999984E-2</v>
      </c>
      <c r="CO10" s="599">
        <f t="shared" si="62"/>
        <v>-0.79800000000000004</v>
      </c>
      <c r="CP10" s="599">
        <f t="shared" si="63"/>
        <v>166.35507692307692</v>
      </c>
      <c r="CQ10" s="584">
        <f t="shared" si="64"/>
        <v>174.25860730502137</v>
      </c>
      <c r="CR10" s="584">
        <f t="shared" si="65"/>
        <v>174.55812500000005</v>
      </c>
      <c r="CS10" s="584">
        <f t="shared" si="66"/>
        <v>1</v>
      </c>
      <c r="CT10" s="609">
        <f t="shared" si="67"/>
        <v>5.75</v>
      </c>
      <c r="CU10" s="718">
        <v>0.62</v>
      </c>
      <c r="CV10" s="599">
        <f t="shared" si="68"/>
        <v>25</v>
      </c>
      <c r="CW10" s="584">
        <f t="shared" si="69"/>
        <v>5.7706970486111118</v>
      </c>
      <c r="CX10" s="584">
        <f t="shared" si="70"/>
        <v>1.5625E-2</v>
      </c>
      <c r="CY10" s="599">
        <f t="shared" si="71"/>
        <v>-5.5860000000000003</v>
      </c>
      <c r="CZ10" s="599">
        <f t="shared" si="72"/>
        <v>166.35507692307692</v>
      </c>
      <c r="DA10" s="584">
        <f t="shared" si="73"/>
        <v>166.55539897168802</v>
      </c>
      <c r="DB10" s="584">
        <f t="shared" si="74"/>
        <v>166.57555147058827</v>
      </c>
      <c r="DC10" s="584">
        <f t="shared" si="75"/>
        <v>1</v>
      </c>
      <c r="DD10" s="609">
        <f t="shared" si="76"/>
        <v>6</v>
      </c>
      <c r="DE10" s="718">
        <v>0.67200000000000004</v>
      </c>
      <c r="DF10" s="599">
        <f t="shared" si="77"/>
        <v>37</v>
      </c>
      <c r="DG10" s="584">
        <f t="shared" si="78"/>
        <v>11.84030121527778</v>
      </c>
      <c r="DH10" s="584">
        <f t="shared" si="79"/>
        <v>0.18062500000000004</v>
      </c>
      <c r="DI10" s="599">
        <f t="shared" si="80"/>
        <v>3.99</v>
      </c>
      <c r="DJ10" s="599">
        <f t="shared" si="81"/>
        <v>166.35507692307692</v>
      </c>
      <c r="DK10" s="584">
        <f t="shared" si="82"/>
        <v>182.3660031383547</v>
      </c>
      <c r="DL10" s="584">
        <f t="shared" si="83"/>
        <v>182.48105147058823</v>
      </c>
      <c r="DM10" s="584">
        <f t="shared" si="84"/>
        <v>1</v>
      </c>
      <c r="DN10" s="609">
        <f t="shared" si="85"/>
        <v>5.5</v>
      </c>
    </row>
    <row r="11" spans="1:118" x14ac:dyDescent="0.2">
      <c r="A11">
        <v>3</v>
      </c>
      <c r="C11" s="497">
        <v>2</v>
      </c>
      <c r="D11" s="600" t="s">
        <v>41</v>
      </c>
      <c r="E11" s="712">
        <v>0.42</v>
      </c>
      <c r="F11" s="584">
        <f t="shared" si="86"/>
        <v>28.166666666666664</v>
      </c>
      <c r="G11" s="584">
        <f t="shared" si="87"/>
        <v>13.787019362461416</v>
      </c>
      <c r="H11" s="584">
        <f t="shared" si="0"/>
        <v>8.5069444444444392E-2</v>
      </c>
      <c r="I11" s="584">
        <f t="shared" si="88"/>
        <v>-0.2660000000000019</v>
      </c>
      <c r="J11" s="584">
        <f>G11+H11+0+$D$54</f>
        <v>119.79208880690587</v>
      </c>
      <c r="K11" s="584">
        <f t="shared" si="1"/>
        <v>126.25680147058821</v>
      </c>
      <c r="L11" s="584">
        <f t="shared" si="2"/>
        <v>1</v>
      </c>
      <c r="M11" s="609">
        <f t="shared" si="89"/>
        <v>8.75</v>
      </c>
      <c r="N11" s="715">
        <v>0.434</v>
      </c>
      <c r="O11" s="584">
        <f t="shared" si="90"/>
        <v>35.166666666666664</v>
      </c>
      <c r="P11" s="584">
        <f t="shared" si="3"/>
        <v>19.061183135609564</v>
      </c>
      <c r="Q11" s="584">
        <f t="shared" si="4"/>
        <v>0.21777777777777774</v>
      </c>
      <c r="R11" s="584">
        <f t="shared" si="5"/>
        <v>5.3199999999999985</v>
      </c>
      <c r="S11" s="584">
        <f t="shared" si="6"/>
        <v>130.51896091338733</v>
      </c>
      <c r="T11" s="584">
        <f t="shared" si="7"/>
        <v>130.71919852941176</v>
      </c>
      <c r="U11" s="584">
        <f t="shared" si="8"/>
        <v>1</v>
      </c>
      <c r="V11" s="609">
        <f t="shared" si="91"/>
        <v>8.5</v>
      </c>
      <c r="W11" s="718">
        <v>0.42699999999999999</v>
      </c>
      <c r="X11" s="584">
        <f t="shared" si="92"/>
        <v>33.833333333333336</v>
      </c>
      <c r="Y11" s="584">
        <f t="shared" si="9"/>
        <v>18.018887996720679</v>
      </c>
      <c r="Z11" s="584">
        <f t="shared" si="10"/>
        <v>0.18777777777777785</v>
      </c>
      <c r="AA11" s="584">
        <f t="shared" si="11"/>
        <v>4.256000000000002</v>
      </c>
      <c r="AB11" s="584">
        <f t="shared" si="12"/>
        <v>128.38266577449846</v>
      </c>
      <c r="AC11" s="584">
        <f t="shared" si="13"/>
        <v>128.49016176470587</v>
      </c>
      <c r="AD11" s="584">
        <f t="shared" si="14"/>
        <v>1</v>
      </c>
      <c r="AE11" s="609">
        <f t="shared" si="93"/>
        <v>8.5</v>
      </c>
      <c r="AF11" s="718">
        <v>0.42</v>
      </c>
      <c r="AG11" s="584">
        <f t="shared" si="94"/>
        <v>30.5</v>
      </c>
      <c r="AH11" s="584">
        <f t="shared" si="15"/>
        <v>15.490752387152774</v>
      </c>
      <c r="AI11" s="584">
        <f t="shared" si="16"/>
        <v>0.12250000000000003</v>
      </c>
      <c r="AJ11" s="584">
        <f t="shared" si="17"/>
        <v>1.5960000000000001</v>
      </c>
      <c r="AK11" s="584">
        <f t="shared" si="18"/>
        <v>123.12925238715277</v>
      </c>
      <c r="AL11" s="584">
        <f t="shared" si="19"/>
        <v>126.25680147058821</v>
      </c>
      <c r="AM11" s="584">
        <f t="shared" si="20"/>
        <v>1</v>
      </c>
      <c r="AN11" s="609">
        <f t="shared" si="95"/>
        <v>8.75</v>
      </c>
      <c r="AO11" s="718">
        <v>0.42</v>
      </c>
      <c r="AP11" s="584">
        <f t="shared" si="96"/>
        <v>24.5</v>
      </c>
      <c r="AQ11" s="584">
        <f t="shared" si="21"/>
        <v>11.219476345486111</v>
      </c>
      <c r="AR11" s="584">
        <f t="shared" si="22"/>
        <v>0.04</v>
      </c>
      <c r="AS11" s="584">
        <f t="shared" si="23"/>
        <v>-3.1920000000000002</v>
      </c>
      <c r="AT11" s="584">
        <f t="shared" si="24"/>
        <v>113.98747634548612</v>
      </c>
      <c r="AU11" s="584">
        <f t="shared" si="25"/>
        <v>126.25680147058821</v>
      </c>
      <c r="AV11" s="584">
        <f t="shared" si="26"/>
        <v>1</v>
      </c>
      <c r="AW11" s="609">
        <f t="shared" si="97"/>
        <v>8.75</v>
      </c>
      <c r="AX11" s="718">
        <v>0.441</v>
      </c>
      <c r="AY11" s="584">
        <f t="shared" si="98"/>
        <v>36.5</v>
      </c>
      <c r="AZ11" s="584">
        <f t="shared" si="27"/>
        <v>20.121215928819446</v>
      </c>
      <c r="BA11" s="584">
        <f t="shared" si="28"/>
        <v>0.25</v>
      </c>
      <c r="BB11" s="584">
        <f t="shared" si="29"/>
        <v>6.3840000000000003</v>
      </c>
      <c r="BC11" s="584">
        <f t="shared" si="30"/>
        <v>132.67521592881945</v>
      </c>
      <c r="BD11" s="584">
        <f t="shared" si="31"/>
        <v>132.94391176470589</v>
      </c>
      <c r="BE11" s="584">
        <f t="shared" si="32"/>
        <v>1</v>
      </c>
      <c r="BF11" s="609">
        <f t="shared" si="99"/>
        <v>8.25</v>
      </c>
      <c r="BG11" s="717">
        <v>0.60299999999999998</v>
      </c>
      <c r="BH11" s="599">
        <f t="shared" si="33"/>
        <v>31.666666666666664</v>
      </c>
      <c r="BI11" s="584">
        <f t="shared" si="34"/>
        <v>8.9653228202160484</v>
      </c>
      <c r="BJ11" s="584">
        <f t="shared" si="35"/>
        <v>8.5069444444444392E-2</v>
      </c>
      <c r="BK11" s="599">
        <f t="shared" si="36"/>
        <v>-0.2660000000000019</v>
      </c>
      <c r="BL11" s="599">
        <f t="shared" si="37"/>
        <v>152.29690140845071</v>
      </c>
      <c r="BM11" s="584">
        <f t="shared" si="100"/>
        <v>161.08129367311119</v>
      </c>
      <c r="BN11" s="584">
        <f t="shared" si="38"/>
        <v>161.32392647058822</v>
      </c>
      <c r="BO11" s="584">
        <f t="shared" si="39"/>
        <v>1</v>
      </c>
      <c r="BP11" s="609">
        <f t="shared" si="40"/>
        <v>6</v>
      </c>
      <c r="BQ11" s="718">
        <v>0.63400000000000001</v>
      </c>
      <c r="BR11" s="599">
        <f t="shared" si="41"/>
        <v>38.666666666666664</v>
      </c>
      <c r="BS11" s="584">
        <f t="shared" si="42"/>
        <v>12.796933641975306</v>
      </c>
      <c r="BT11" s="584">
        <f t="shared" si="43"/>
        <v>0.21777777777777774</v>
      </c>
      <c r="BU11" s="599">
        <f t="shared" si="44"/>
        <v>5.3199999999999985</v>
      </c>
      <c r="BV11" s="599">
        <f t="shared" si="45"/>
        <v>152.29690140845071</v>
      </c>
      <c r="BW11" s="584">
        <f t="shared" si="46"/>
        <v>170.6316128282038</v>
      </c>
      <c r="BX11" s="584">
        <f t="shared" si="47"/>
        <v>170.88127205882358</v>
      </c>
      <c r="BY11" s="584">
        <f t="shared" si="48"/>
        <v>1</v>
      </c>
      <c r="BZ11" s="609">
        <f t="shared" si="49"/>
        <v>5.75</v>
      </c>
      <c r="CA11" s="718">
        <v>0.628</v>
      </c>
      <c r="CB11" s="599">
        <f t="shared" si="50"/>
        <v>37.333333333333336</v>
      </c>
      <c r="CC11" s="584">
        <f t="shared" si="51"/>
        <v>12.029410493827161</v>
      </c>
      <c r="CD11" s="584">
        <f t="shared" si="52"/>
        <v>0.18777777777777785</v>
      </c>
      <c r="CE11" s="599">
        <f t="shared" si="53"/>
        <v>4.256000000000002</v>
      </c>
      <c r="CF11" s="599">
        <f t="shared" si="54"/>
        <v>152.29690140845071</v>
      </c>
      <c r="CG11" s="584">
        <f t="shared" si="55"/>
        <v>168.77008968005566</v>
      </c>
      <c r="CH11" s="584">
        <f t="shared" si="56"/>
        <v>169.03808088235297</v>
      </c>
      <c r="CI11" s="584">
        <f t="shared" si="57"/>
        <v>1</v>
      </c>
      <c r="CJ11" s="609">
        <f t="shared" si="58"/>
        <v>5.75</v>
      </c>
      <c r="CK11" s="717">
        <v>0.61299999999999999</v>
      </c>
      <c r="CL11" s="599">
        <f t="shared" si="59"/>
        <v>34</v>
      </c>
      <c r="CM11" s="584">
        <f t="shared" si="60"/>
        <v>10.18820486111111</v>
      </c>
      <c r="CN11" s="584">
        <f t="shared" si="61"/>
        <v>0.12250000000000003</v>
      </c>
      <c r="CO11" s="599">
        <f t="shared" si="62"/>
        <v>1.5960000000000001</v>
      </c>
      <c r="CP11" s="599">
        <f t="shared" si="63"/>
        <v>152.29690140845071</v>
      </c>
      <c r="CQ11" s="584">
        <f t="shared" si="64"/>
        <v>164.20360626956182</v>
      </c>
      <c r="CR11" s="584">
        <f t="shared" si="65"/>
        <v>164.41620588235293</v>
      </c>
      <c r="CS11" s="584">
        <f t="shared" si="66"/>
        <v>1</v>
      </c>
      <c r="CT11" s="609">
        <f t="shared" si="67"/>
        <v>6</v>
      </c>
      <c r="CU11" s="718">
        <v>0.58699999999999997</v>
      </c>
      <c r="CV11" s="599">
        <f t="shared" si="68"/>
        <v>28</v>
      </c>
      <c r="CW11" s="584">
        <f t="shared" si="69"/>
        <v>7.153402777777778</v>
      </c>
      <c r="CX11" s="584">
        <f t="shared" si="70"/>
        <v>0.04</v>
      </c>
      <c r="CY11" s="599">
        <f t="shared" si="71"/>
        <v>-3.1920000000000002</v>
      </c>
      <c r="CZ11" s="599">
        <f t="shared" si="72"/>
        <v>152.29690140845071</v>
      </c>
      <c r="DA11" s="584">
        <f t="shared" si="73"/>
        <v>156.29830418622848</v>
      </c>
      <c r="DB11" s="584">
        <f t="shared" si="74"/>
        <v>156.35792647058821</v>
      </c>
      <c r="DC11" s="584">
        <f t="shared" si="75"/>
        <v>1</v>
      </c>
      <c r="DD11" s="609">
        <f t="shared" si="76"/>
        <v>6.25</v>
      </c>
      <c r="DE11" s="718">
        <v>0.64</v>
      </c>
      <c r="DF11" s="599">
        <f t="shared" si="77"/>
        <v>40</v>
      </c>
      <c r="DG11" s="584">
        <f t="shared" si="78"/>
        <v>13.582194444444443</v>
      </c>
      <c r="DH11" s="584">
        <f t="shared" si="79"/>
        <v>0.25</v>
      </c>
      <c r="DI11" s="599">
        <f t="shared" si="80"/>
        <v>6.3840000000000003</v>
      </c>
      <c r="DJ11" s="599">
        <f t="shared" si="81"/>
        <v>152.29690140845071</v>
      </c>
      <c r="DK11" s="584">
        <f t="shared" si="82"/>
        <v>172.51309585289516</v>
      </c>
      <c r="DL11" s="584">
        <f t="shared" si="83"/>
        <v>172.72128676470587</v>
      </c>
      <c r="DM11" s="584">
        <f t="shared" si="84"/>
        <v>1</v>
      </c>
      <c r="DN11" s="609">
        <f t="shared" si="85"/>
        <v>5.75</v>
      </c>
    </row>
    <row r="12" spans="1:118" x14ac:dyDescent="0.2">
      <c r="A12">
        <v>4</v>
      </c>
      <c r="C12" s="497">
        <v>2.25</v>
      </c>
      <c r="D12" s="600" t="s">
        <v>41</v>
      </c>
      <c r="E12" s="712">
        <v>0.42</v>
      </c>
      <c r="F12" s="584">
        <f t="shared" si="86"/>
        <v>31.166666666666664</v>
      </c>
      <c r="G12" s="584">
        <f t="shared" si="87"/>
        <v>15.98751068190586</v>
      </c>
      <c r="H12" s="584">
        <f t="shared" si="0"/>
        <v>0.13444444444444442</v>
      </c>
      <c r="I12" s="584">
        <f t="shared" si="88"/>
        <v>2.1279999999999983</v>
      </c>
      <c r="J12" s="584">
        <f t="shared" ref="J12" si="101">G12+H12+I12+$D$54</f>
        <v>124.1699551263503</v>
      </c>
      <c r="K12" s="584">
        <f t="shared" si="1"/>
        <v>126.25680147058821</v>
      </c>
      <c r="L12" s="584">
        <f t="shared" si="2"/>
        <v>1</v>
      </c>
      <c r="M12" s="609">
        <f t="shared" si="89"/>
        <v>8.75</v>
      </c>
      <c r="N12" s="715">
        <v>0.44900000000000001</v>
      </c>
      <c r="O12" s="584">
        <f t="shared" si="90"/>
        <v>38.166666666666664</v>
      </c>
      <c r="P12" s="584">
        <f t="shared" si="3"/>
        <v>21.471200496720677</v>
      </c>
      <c r="Q12" s="584">
        <f t="shared" si="4"/>
        <v>0.29340277777777773</v>
      </c>
      <c r="R12" s="584">
        <f t="shared" si="5"/>
        <v>7.7139999999999986</v>
      </c>
      <c r="S12" s="584">
        <f t="shared" si="6"/>
        <v>135.39860327449844</v>
      </c>
      <c r="T12" s="584">
        <f t="shared" si="7"/>
        <v>135.48114705882352</v>
      </c>
      <c r="U12" s="584">
        <f t="shared" si="8"/>
        <v>1</v>
      </c>
      <c r="V12" s="609">
        <f t="shared" si="91"/>
        <v>8.25</v>
      </c>
      <c r="W12" s="718">
        <v>0.442</v>
      </c>
      <c r="X12" s="584">
        <f t="shared" si="92"/>
        <v>36.833333333333336</v>
      </c>
      <c r="Y12" s="584">
        <f t="shared" si="9"/>
        <v>20.388995635609572</v>
      </c>
      <c r="Z12" s="584">
        <f t="shared" si="10"/>
        <v>0.25840277777777781</v>
      </c>
      <c r="AA12" s="584">
        <f t="shared" si="11"/>
        <v>6.6500000000000021</v>
      </c>
      <c r="AB12" s="584">
        <f t="shared" si="12"/>
        <v>133.21739841338734</v>
      </c>
      <c r="AC12" s="584">
        <f t="shared" si="13"/>
        <v>133.26137499999999</v>
      </c>
      <c r="AD12" s="584">
        <f t="shared" si="14"/>
        <v>1</v>
      </c>
      <c r="AE12" s="609">
        <f t="shared" si="93"/>
        <v>8.25</v>
      </c>
      <c r="AF12" s="718">
        <v>0.42499999999999999</v>
      </c>
      <c r="AG12" s="584">
        <f t="shared" si="94"/>
        <v>33.5</v>
      </c>
      <c r="AH12" s="584">
        <f t="shared" si="15"/>
        <v>17.761085720486108</v>
      </c>
      <c r="AI12" s="584">
        <f t="shared" si="16"/>
        <v>0.18062500000000004</v>
      </c>
      <c r="AJ12" s="584">
        <f t="shared" si="17"/>
        <v>3.99</v>
      </c>
      <c r="AK12" s="584">
        <f t="shared" si="18"/>
        <v>127.85171072048611</v>
      </c>
      <c r="AL12" s="584">
        <f t="shared" si="19"/>
        <v>127.85249999999999</v>
      </c>
      <c r="AM12" s="584">
        <f t="shared" si="20"/>
        <v>1</v>
      </c>
      <c r="AN12" s="609">
        <f t="shared" si="95"/>
        <v>8.75</v>
      </c>
      <c r="AO12" s="718">
        <v>0.42</v>
      </c>
      <c r="AP12" s="584">
        <f t="shared" si="96"/>
        <v>27.5</v>
      </c>
      <c r="AQ12" s="584">
        <f t="shared" si="21"/>
        <v>13.310215928819444</v>
      </c>
      <c r="AR12" s="584">
        <f t="shared" si="22"/>
        <v>7.5624999999999984E-2</v>
      </c>
      <c r="AS12" s="584">
        <f t="shared" si="23"/>
        <v>-0.79800000000000004</v>
      </c>
      <c r="AT12" s="584">
        <f t="shared" si="24"/>
        <v>118.50784092881945</v>
      </c>
      <c r="AU12" s="584">
        <f t="shared" si="25"/>
        <v>126.25680147058821</v>
      </c>
      <c r="AV12" s="584">
        <f t="shared" si="26"/>
        <v>1</v>
      </c>
      <c r="AW12" s="609">
        <f t="shared" si="97"/>
        <v>8.75</v>
      </c>
      <c r="AX12" s="718">
        <v>0.45600000000000002</v>
      </c>
      <c r="AY12" s="584">
        <f t="shared" si="98"/>
        <v>39.5</v>
      </c>
      <c r="AZ12" s="584">
        <f t="shared" si="27"/>
        <v>22.571143012152774</v>
      </c>
      <c r="BA12" s="584">
        <f t="shared" si="28"/>
        <v>0.330625</v>
      </c>
      <c r="BB12" s="584">
        <f t="shared" si="29"/>
        <v>8.7780000000000005</v>
      </c>
      <c r="BC12" s="584">
        <f t="shared" si="30"/>
        <v>137.59976801215277</v>
      </c>
      <c r="BD12" s="584">
        <f t="shared" si="31"/>
        <v>137.69659558823531</v>
      </c>
      <c r="BE12" s="584">
        <f t="shared" si="32"/>
        <v>1</v>
      </c>
      <c r="BF12" s="609">
        <f t="shared" si="99"/>
        <v>8</v>
      </c>
      <c r="BG12" s="717">
        <v>0.57699999999999996</v>
      </c>
      <c r="BH12" s="599">
        <f t="shared" si="33"/>
        <v>34.666666666666664</v>
      </c>
      <c r="BI12" s="584">
        <f t="shared" si="34"/>
        <v>10.547577160493827</v>
      </c>
      <c r="BJ12" s="584">
        <f t="shared" si="35"/>
        <v>0.13444444444444442</v>
      </c>
      <c r="BK12" s="599">
        <f t="shared" si="36"/>
        <v>2.1279999999999983</v>
      </c>
      <c r="BL12" s="599">
        <f t="shared" si="37"/>
        <v>140.42961038961039</v>
      </c>
      <c r="BM12" s="584">
        <f t="shared" si="100"/>
        <v>153.23963199454866</v>
      </c>
      <c r="BN12" s="584">
        <f t="shared" si="38"/>
        <v>153.24270588235294</v>
      </c>
      <c r="BO12" s="584">
        <f t="shared" si="39"/>
        <v>1</v>
      </c>
      <c r="BP12" s="609">
        <f t="shared" si="40"/>
        <v>6.25</v>
      </c>
      <c r="BQ12" s="718">
        <v>0.60899999999999999</v>
      </c>
      <c r="BR12" s="599">
        <f t="shared" si="41"/>
        <v>41.666666666666664</v>
      </c>
      <c r="BS12" s="584">
        <f t="shared" si="42"/>
        <v>14.588714023919749</v>
      </c>
      <c r="BT12" s="584">
        <f t="shared" si="43"/>
        <v>0.29340277777777773</v>
      </c>
      <c r="BU12" s="599">
        <f t="shared" si="44"/>
        <v>7.7139999999999986</v>
      </c>
      <c r="BV12" s="599">
        <f t="shared" si="45"/>
        <v>140.42961038961039</v>
      </c>
      <c r="BW12" s="584">
        <f t="shared" si="46"/>
        <v>163.02572719130791</v>
      </c>
      <c r="BX12" s="584">
        <f t="shared" si="47"/>
        <v>163.18035294117647</v>
      </c>
      <c r="BY12" s="584">
        <f t="shared" si="48"/>
        <v>1</v>
      </c>
      <c r="BZ12" s="609">
        <f t="shared" si="49"/>
        <v>6</v>
      </c>
      <c r="CA12" s="718">
        <v>0.60299999999999998</v>
      </c>
      <c r="CB12" s="599">
        <f t="shared" si="50"/>
        <v>40.333333333333336</v>
      </c>
      <c r="CC12" s="584">
        <f t="shared" si="51"/>
        <v>13.781281153549385</v>
      </c>
      <c r="CD12" s="584">
        <f t="shared" si="52"/>
        <v>0.25840277777777781</v>
      </c>
      <c r="CE12" s="599">
        <f t="shared" si="53"/>
        <v>6.6500000000000021</v>
      </c>
      <c r="CF12" s="599">
        <f t="shared" si="54"/>
        <v>140.42961038961039</v>
      </c>
      <c r="CG12" s="584">
        <f t="shared" si="55"/>
        <v>161.11929432093757</v>
      </c>
      <c r="CH12" s="584">
        <f t="shared" si="56"/>
        <v>161.32392647058822</v>
      </c>
      <c r="CI12" s="584">
        <f t="shared" si="57"/>
        <v>1</v>
      </c>
      <c r="CJ12" s="609">
        <f t="shared" si="58"/>
        <v>6</v>
      </c>
      <c r="CK12" s="717">
        <v>0.58799999999999997</v>
      </c>
      <c r="CL12" s="599">
        <f t="shared" si="59"/>
        <v>37</v>
      </c>
      <c r="CM12" s="584">
        <f t="shared" si="60"/>
        <v>11.84030121527778</v>
      </c>
      <c r="CN12" s="584">
        <f t="shared" si="61"/>
        <v>0.18062500000000004</v>
      </c>
      <c r="CO12" s="599">
        <f t="shared" si="62"/>
        <v>3.99</v>
      </c>
      <c r="CP12" s="599">
        <f t="shared" si="63"/>
        <v>140.42961038961039</v>
      </c>
      <c r="CQ12" s="584">
        <f t="shared" si="64"/>
        <v>156.44053660488817</v>
      </c>
      <c r="CR12" s="584">
        <f t="shared" si="65"/>
        <v>156.66896323529409</v>
      </c>
      <c r="CS12" s="584">
        <f t="shared" si="66"/>
        <v>1</v>
      </c>
      <c r="CT12" s="609">
        <f t="shared" si="67"/>
        <v>6.25</v>
      </c>
      <c r="CU12" s="718">
        <v>0.56999999999999995</v>
      </c>
      <c r="CV12" s="599">
        <f t="shared" si="68"/>
        <v>31</v>
      </c>
      <c r="CW12" s="584">
        <f t="shared" si="69"/>
        <v>8.6259053819444436</v>
      </c>
      <c r="CX12" s="584">
        <f t="shared" si="70"/>
        <v>7.5624999999999984E-2</v>
      </c>
      <c r="CY12" s="599">
        <f t="shared" si="71"/>
        <v>-0.79800000000000004</v>
      </c>
      <c r="CZ12" s="599">
        <f t="shared" si="72"/>
        <v>140.42961038961039</v>
      </c>
      <c r="DA12" s="584">
        <f t="shared" si="73"/>
        <v>148.33314077155484</v>
      </c>
      <c r="DB12" s="584">
        <f t="shared" si="74"/>
        <v>151.0568014705882</v>
      </c>
      <c r="DC12" s="584">
        <f t="shared" si="75"/>
        <v>1</v>
      </c>
      <c r="DD12" s="609">
        <f t="shared" si="76"/>
        <v>6.5</v>
      </c>
      <c r="DE12" s="718">
        <v>0.61499999999999999</v>
      </c>
      <c r="DF12" s="599">
        <f t="shared" si="77"/>
        <v>43</v>
      </c>
      <c r="DG12" s="584">
        <f t="shared" si="78"/>
        <v>15.41388454861111</v>
      </c>
      <c r="DH12" s="584">
        <f t="shared" si="79"/>
        <v>0.330625</v>
      </c>
      <c r="DI12" s="599">
        <f t="shared" si="80"/>
        <v>8.7780000000000005</v>
      </c>
      <c r="DJ12" s="599">
        <f t="shared" si="81"/>
        <v>140.42961038961039</v>
      </c>
      <c r="DK12" s="584">
        <f t="shared" si="82"/>
        <v>164.9521199382215</v>
      </c>
      <c r="DL12" s="584">
        <f t="shared" si="83"/>
        <v>165.03360294117644</v>
      </c>
      <c r="DM12" s="584">
        <f t="shared" si="84"/>
        <v>1</v>
      </c>
      <c r="DN12" s="609">
        <f t="shared" si="85"/>
        <v>6</v>
      </c>
    </row>
    <row r="13" spans="1:118" x14ac:dyDescent="0.2">
      <c r="A13">
        <v>5</v>
      </c>
      <c r="C13" s="601">
        <v>2.5</v>
      </c>
      <c r="D13" s="600" t="s">
        <v>41</v>
      </c>
      <c r="E13" s="712">
        <v>0.42899999999999999</v>
      </c>
      <c r="F13" s="584">
        <f t="shared" si="86"/>
        <v>34.166666666666664</v>
      </c>
      <c r="G13" s="584">
        <f>1.25*(($D$49/12*$D$53*(F13/12)^2/2+0.5*($D$50-$D$49)/12*$D$53*(F13/12)^2/3)*12/1000+$D$51*(F13-5.7)/12*12/1000)</f>
        <v>18.27779887635031</v>
      </c>
      <c r="H13" s="584">
        <f>1.5*($D$52*((F13-$D$48)/12)^2/2*12/1000)</f>
        <v>0.19506944444444441</v>
      </c>
      <c r="I13" s="584">
        <f>0.5*1.33*1.2*(F13-$D$48-12)</f>
        <v>4.5219999999999985</v>
      </c>
      <c r="J13" s="584">
        <f>G13+H13+I13+$D$54</f>
        <v>128.91486832079477</v>
      </c>
      <c r="K13" s="584">
        <f>12*(((E13/12)*$D$56*($D$58-(((E13/12)*$D$56)/(1.7*$D$57))))-(($D$55/12)*(($D$58/2)-(((E13/12)*$D$56)/(1.7*$D$57)))))</f>
        <v>129.1274705882353</v>
      </c>
      <c r="L13" s="584">
        <f>IF(K13&gt;J13,1,0)</f>
        <v>1</v>
      </c>
      <c r="M13" s="609">
        <f t="shared" si="89"/>
        <v>8.5</v>
      </c>
      <c r="N13" s="715">
        <v>0.46500000000000002</v>
      </c>
      <c r="O13" s="584">
        <f t="shared" si="90"/>
        <v>41.166666666666664</v>
      </c>
      <c r="P13" s="584">
        <f>1.25*(($D$49/12*$D$53*(O13/12)^2/2+0.5*($D$50-$D$49)/12*$D$53*(O13/12)^2/3)*12/1000+$D$51*(O13-5.7)/12*12/1000)</f>
        <v>23.97101473283179</v>
      </c>
      <c r="Q13" s="584">
        <f>1.5*($D$52*((O13-$D$48)/12)^2/2*12/1000)</f>
        <v>0.3802777777777776</v>
      </c>
      <c r="R13" s="584">
        <f>0.5*1.33*1.2*(O13-$D$48-12)</f>
        <v>10.107999999999999</v>
      </c>
      <c r="S13" s="584">
        <f>P13+Q13+R13+$D$54</f>
        <v>140.37929251060956</v>
      </c>
      <c r="T13" s="584">
        <f>12*(((N13/12)*$D$56*($D$58-(((N13/12)*$D$56)/(1.7*$D$57))))-(($D$55/12)*(($D$58/2)-(((N13/12)*$D$56)/(1.7*$D$57)))))</f>
        <v>140.53867647058826</v>
      </c>
      <c r="U13" s="584">
        <f>IF(T13&gt;S13,1,0)</f>
        <v>1</v>
      </c>
      <c r="V13" s="609">
        <f t="shared" si="91"/>
        <v>8</v>
      </c>
      <c r="W13" s="718">
        <v>0.45800000000000002</v>
      </c>
      <c r="X13" s="584">
        <f t="shared" si="92"/>
        <v>39.833333333333336</v>
      </c>
      <c r="Y13" s="584">
        <f>1.25*(($D$49/12*$D$53*(X13/12)^2/2+0.5*($D$50-$D$49)/12*$D$53*(X13/12)^2/3)*12/1000+$D$51*(X13-5.7)/12*12/1000)</f>
        <v>22.848900149498455</v>
      </c>
      <c r="Z13" s="584">
        <f>1.5*($D$52*((X13-$D$48)/12)^2/2*12/1000)</f>
        <v>0.34027777777777785</v>
      </c>
      <c r="AA13" s="584">
        <f>0.5*1.33*1.2*(X13-$D$48-12)</f>
        <v>9.0440000000000023</v>
      </c>
      <c r="AB13" s="584">
        <f>Y13+Z13+AA13+$D$54</f>
        <v>138.15317792727623</v>
      </c>
      <c r="AC13" s="584">
        <f>12*(((W13/12)*$D$56*($D$58-(((W13/12)*$D$56)/(1.7*$D$57))))-(($D$55/12)*(($D$58/2)-(((W13/12)*$D$56)/(1.7*$D$57)))))</f>
        <v>138.32878676470588</v>
      </c>
      <c r="AD13" s="584">
        <f>IF(AC13&gt;AB13,1,0)</f>
        <v>1</v>
      </c>
      <c r="AE13" s="609">
        <f t="shared" si="93"/>
        <v>8</v>
      </c>
      <c r="AF13" s="718">
        <v>0.441</v>
      </c>
      <c r="AG13" s="584">
        <f t="shared" si="94"/>
        <v>36.5</v>
      </c>
      <c r="AH13" s="584">
        <f>1.25*(($D$49/12*$D$53*(AG13/12)^2/2+0.5*($D$50-$D$49)/12*$D$53*(AG13/12)^2/3)*12/1000+$D$51*(AG13-5.7)/12*12/1000)</f>
        <v>20.121215928819446</v>
      </c>
      <c r="AI13" s="584">
        <f>1.5*($D$52*((AG13-$D$48)/12)^2/2*12/1000)</f>
        <v>0.25</v>
      </c>
      <c r="AJ13" s="584">
        <f>0.5*1.33*1.2*(AG13-$D$48-12)</f>
        <v>6.3840000000000003</v>
      </c>
      <c r="AK13" s="584">
        <f>AH13+AI13+AJ13+$D$54</f>
        <v>132.67521592881945</v>
      </c>
      <c r="AL13" s="584">
        <f>12*(((AF13/12)*$D$56*($D$58-(((AF13/12)*$D$56)/(1.7*$D$57))))-(($D$55/12)*(($D$58/2)-(((AF13/12)*$D$56)/(1.7*$D$57)))))</f>
        <v>132.94391176470589</v>
      </c>
      <c r="AM13" s="584">
        <f>IF(AL13&gt;AK13,1,0)</f>
        <v>1</v>
      </c>
      <c r="AN13" s="609">
        <f t="shared" si="95"/>
        <v>8.25</v>
      </c>
      <c r="AO13" s="718">
        <v>0.42</v>
      </c>
      <c r="AP13" s="584">
        <f t="shared" si="96"/>
        <v>30.5</v>
      </c>
      <c r="AQ13" s="584">
        <f>1.25*(($D$49/12*$D$53*(AP13/12)^2/2+0.5*($D$50-$D$49)/12*$D$53*(AP13/12)^2/3)*12/1000+$D$51*(AP13-5.7)/12*12/1000)</f>
        <v>15.490752387152774</v>
      </c>
      <c r="AR13" s="584">
        <f>1.5*($D$52*((AP13-$D$48)/12)^2/2*12/1000)</f>
        <v>0.12250000000000003</v>
      </c>
      <c r="AS13" s="584">
        <f>0.5*1.33*1.2*(AP13-$D$48-12)</f>
        <v>1.5960000000000001</v>
      </c>
      <c r="AT13" s="584">
        <f>AQ13+AR13+AS13+$D$54</f>
        <v>123.12925238715277</v>
      </c>
      <c r="AU13" s="584">
        <f>12*(((AO13/12)*$D$56*($D$58-(((AO13/12)*$D$56)/(1.7*$D$57))))-(($D$55/12)*(($D$58/2)-(((AO13/12)*$D$56)/(1.7*$D$57)))))</f>
        <v>126.25680147058821</v>
      </c>
      <c r="AV13" s="584">
        <f>IF(AU13&gt;AT13,1,0)</f>
        <v>1</v>
      </c>
      <c r="AW13" s="609">
        <f t="shared" si="97"/>
        <v>8.75</v>
      </c>
      <c r="AX13" s="718">
        <v>0.47200000000000003</v>
      </c>
      <c r="AY13" s="584">
        <f t="shared" si="98"/>
        <v>42.5</v>
      </c>
      <c r="AZ13" s="584">
        <f>1.25*(($D$49/12*$D$53*(AY13/12)^2/2+0.5*($D$50-$D$49)/12*$D$53*(AY13/12)^2/3)*12/1000+$D$51*(AY13-5.7)/12*12/1000)</f>
        <v>25.110866970486114</v>
      </c>
      <c r="BA13" s="584">
        <f>1.5*($D$52*((AY13-$D$48)/12)^2/2*12/1000)</f>
        <v>0.42249999999999993</v>
      </c>
      <c r="BB13" s="584">
        <f>0.5*1.33*1.2*(AY13-$D$48-12)</f>
        <v>11.172000000000001</v>
      </c>
      <c r="BC13" s="584">
        <f>AZ13+BA13+BB13+$D$54</f>
        <v>142.62536697048611</v>
      </c>
      <c r="BD13" s="584">
        <f>12*(((AX13/12)*$D$56*($D$58-(((AX13/12)*$D$56)/(1.7*$D$57))))-(($D$55/12)*(($D$58/2)-(((AX13/12)*$D$56)/(1.7*$D$57)))))</f>
        <v>142.74424264705885</v>
      </c>
      <c r="BE13" s="584">
        <f>IF(BD13&gt;BC13,1,0)</f>
        <v>1</v>
      </c>
      <c r="BF13" s="609">
        <f t="shared" si="99"/>
        <v>7.75</v>
      </c>
      <c r="BG13" s="718">
        <v>0.56999999999999995</v>
      </c>
      <c r="BH13" s="599">
        <f t="shared" si="33"/>
        <v>37.666666666666664</v>
      </c>
      <c r="BI13" s="584">
        <f t="shared" si="34"/>
        <v>12.219628375771606</v>
      </c>
      <c r="BJ13" s="584">
        <f t="shared" si="35"/>
        <v>0.19506944444444441</v>
      </c>
      <c r="BK13" s="599">
        <f t="shared" si="36"/>
        <v>4.5219999999999985</v>
      </c>
      <c r="BL13" s="599">
        <f t="shared" si="37"/>
        <v>130.27807228915663</v>
      </c>
      <c r="BM13" s="584">
        <f>BI13+BJ13+BK13+BL13</f>
        <v>147.21477010937267</v>
      </c>
      <c r="BN13" s="584">
        <f t="shared" si="38"/>
        <v>151.0568014705882</v>
      </c>
      <c r="BO13" s="584">
        <f>IF(BN13&gt;BM13,1,0)</f>
        <v>1</v>
      </c>
      <c r="BP13" s="609">
        <f t="shared" si="40"/>
        <v>6.5</v>
      </c>
      <c r="BQ13" s="718">
        <v>0.59</v>
      </c>
      <c r="BR13" s="599">
        <f t="shared" si="41"/>
        <v>44.666666666666664</v>
      </c>
      <c r="BS13" s="584">
        <f t="shared" si="42"/>
        <v>16.470291280864195</v>
      </c>
      <c r="BT13" s="584">
        <f t="shared" si="43"/>
        <v>0.3802777777777776</v>
      </c>
      <c r="BU13" s="599">
        <f t="shared" si="44"/>
        <v>10.107999999999999</v>
      </c>
      <c r="BV13" s="599">
        <f t="shared" si="45"/>
        <v>130.27807228915663</v>
      </c>
      <c r="BW13" s="584">
        <f>BS13+BT13+BU13+BV13</f>
        <v>157.23664134779858</v>
      </c>
      <c r="BX13" s="584">
        <f t="shared" si="47"/>
        <v>157.29077205882353</v>
      </c>
      <c r="BY13" s="584">
        <f>IF(BX13&gt;BW13,1,0)</f>
        <v>1</v>
      </c>
      <c r="BZ13" s="609">
        <f t="shared" si="49"/>
        <v>6.25</v>
      </c>
      <c r="CA13" s="718">
        <v>0.58399999999999996</v>
      </c>
      <c r="CB13" s="599">
        <f t="shared" si="50"/>
        <v>43.333333333333336</v>
      </c>
      <c r="CC13" s="584">
        <f t="shared" si="51"/>
        <v>15.622948688271606</v>
      </c>
      <c r="CD13" s="584">
        <f t="shared" si="52"/>
        <v>0.34027777777777785</v>
      </c>
      <c r="CE13" s="599">
        <f t="shared" si="53"/>
        <v>9.0440000000000023</v>
      </c>
      <c r="CF13" s="599">
        <f t="shared" si="54"/>
        <v>130.27807228915663</v>
      </c>
      <c r="CG13" s="584">
        <f>CC13+CD13+CE13+CF13</f>
        <v>155.28529875520601</v>
      </c>
      <c r="CH13" s="584">
        <f t="shared" si="56"/>
        <v>155.42428676470587</v>
      </c>
      <c r="CI13" s="584">
        <f>IF(CH13&gt;CG13,1,0)</f>
        <v>1</v>
      </c>
      <c r="CJ13" s="609">
        <f t="shared" si="58"/>
        <v>6.25</v>
      </c>
      <c r="CK13" s="718">
        <v>0.56999999999999995</v>
      </c>
      <c r="CL13" s="599">
        <f t="shared" si="59"/>
        <v>40</v>
      </c>
      <c r="CM13" s="584">
        <f t="shared" si="60"/>
        <v>13.582194444444443</v>
      </c>
      <c r="CN13" s="584">
        <f t="shared" si="61"/>
        <v>0.25</v>
      </c>
      <c r="CO13" s="599">
        <f t="shared" si="62"/>
        <v>6.3840000000000003</v>
      </c>
      <c r="CP13" s="599">
        <f t="shared" si="63"/>
        <v>130.27807228915663</v>
      </c>
      <c r="CQ13" s="584">
        <f>CM13+CN13+CO13+CP13</f>
        <v>150.49426673360108</v>
      </c>
      <c r="CR13" s="584">
        <f t="shared" si="65"/>
        <v>151.0568014705882</v>
      </c>
      <c r="CS13" s="584">
        <f>IF(CR13&gt;CQ13,1,0)</f>
        <v>1</v>
      </c>
      <c r="CT13" s="609">
        <f t="shared" si="67"/>
        <v>6.5</v>
      </c>
      <c r="CU13" s="718">
        <v>0.56999999999999995</v>
      </c>
      <c r="CV13" s="599">
        <f t="shared" si="68"/>
        <v>34</v>
      </c>
      <c r="CW13" s="584">
        <f t="shared" si="69"/>
        <v>10.18820486111111</v>
      </c>
      <c r="CX13" s="584">
        <f t="shared" si="70"/>
        <v>0.12250000000000003</v>
      </c>
      <c r="CY13" s="599">
        <f t="shared" si="71"/>
        <v>1.5960000000000001</v>
      </c>
      <c r="CZ13" s="599">
        <f t="shared" si="72"/>
        <v>130.27807228915663</v>
      </c>
      <c r="DA13" s="584">
        <f>CW13+CX13+CY13+CZ13</f>
        <v>142.18477715026773</v>
      </c>
      <c r="DB13" s="584">
        <f t="shared" si="74"/>
        <v>151.0568014705882</v>
      </c>
      <c r="DC13" s="584">
        <f>IF(DB13&gt;DA13,1,0)</f>
        <v>1</v>
      </c>
      <c r="DD13" s="609">
        <f t="shared" si="76"/>
        <v>6.5</v>
      </c>
      <c r="DE13" s="718">
        <v>0.59699999999999998</v>
      </c>
      <c r="DF13" s="599">
        <f t="shared" si="77"/>
        <v>46</v>
      </c>
      <c r="DG13" s="584">
        <f t="shared" si="78"/>
        <v>17.335371527777777</v>
      </c>
      <c r="DH13" s="584">
        <f t="shared" si="79"/>
        <v>0.42249999999999993</v>
      </c>
      <c r="DI13" s="599">
        <f t="shared" si="80"/>
        <v>11.172000000000001</v>
      </c>
      <c r="DJ13" s="599">
        <f t="shared" si="81"/>
        <v>130.27807228915663</v>
      </c>
      <c r="DK13" s="584">
        <f>DG13+DH13+DI13+DJ13</f>
        <v>159.2079438169344</v>
      </c>
      <c r="DL13" s="584">
        <f t="shared" si="83"/>
        <v>159.46432352941176</v>
      </c>
      <c r="DM13" s="584">
        <f>IF(DL13&gt;DK13,1,0)</f>
        <v>1</v>
      </c>
      <c r="DN13" s="609">
        <f t="shared" si="85"/>
        <v>6</v>
      </c>
    </row>
    <row r="14" spans="1:118" x14ac:dyDescent="0.2">
      <c r="A14">
        <v>6</v>
      </c>
      <c r="C14" s="497">
        <v>2.75</v>
      </c>
      <c r="D14" s="600" t="s">
        <v>41</v>
      </c>
      <c r="E14" s="712">
        <v>0.44400000000000001</v>
      </c>
      <c r="F14" s="584">
        <f t="shared" si="86"/>
        <v>37.166666666666664</v>
      </c>
      <c r="G14" s="584">
        <f t="shared" ref="G14:G46" si="102">1.25*(($D$49/12*$D$53*(F14/12)^2/2+0.5*($D$50-$D$49)/12*$D$53*(F14/12)^2/3)*12/1000+$D$51*(F14-5.7)/12*12/1000)</f>
        <v>20.657883945794751</v>
      </c>
      <c r="H14" s="584">
        <f t="shared" ref="H14:H46" si="103">1.5*($D$52*((F14-$D$48)/12)^2/2*12/1000)</f>
        <v>0.26694444444444443</v>
      </c>
      <c r="I14" s="584">
        <f t="shared" ref="I14:I46" si="104">0.5*1.33*1.2*(F14-$D$48-12)</f>
        <v>6.9159999999999986</v>
      </c>
      <c r="J14" s="584">
        <f t="shared" ref="J14:J46" si="105">G14+H14+I14+$D$54</f>
        <v>133.7608283902392</v>
      </c>
      <c r="K14" s="584">
        <f t="shared" ref="K14:K46" si="106">12*(((E14/12)*$D$56*($D$58-(((E14/12)*$D$56)/(1.7*$D$57))))-(($D$55/12)*(($D$58/2)-(((E14/12)*$D$56)/(1.7*$D$57)))))</f>
        <v>133.89603676470588</v>
      </c>
      <c r="L14" s="584">
        <f t="shared" ref="L14:L46" si="107">IF(K14&gt;J14,1,0)</f>
        <v>1</v>
      </c>
      <c r="M14" s="609">
        <f t="shared" si="89"/>
        <v>8.25</v>
      </c>
      <c r="N14" s="715">
        <v>0.48100000000000004</v>
      </c>
      <c r="O14" s="584">
        <f t="shared" si="90"/>
        <v>44.166666666666664</v>
      </c>
      <c r="P14" s="584">
        <f t="shared" ref="P14:P46" si="108">1.25*(($D$49/12*$D$53*(O14/12)^2/2+0.5*($D$50-$D$49)/12*$D$53*(O14/12)^2/3)*12/1000+$D$51*(O14-5.7)/12*12/1000)</f>
        <v>26.560625843942898</v>
      </c>
      <c r="Q14" s="584">
        <f t="shared" ref="Q14:Q46" si="109">1.5*($D$52*((O14-$D$48)/12)^2/2*12/1000)</f>
        <v>0.47840277777777762</v>
      </c>
      <c r="R14" s="584">
        <f t="shared" ref="R14:R46" si="110">0.5*1.33*1.2*(O14-$D$48-12)</f>
        <v>12.501999999999999</v>
      </c>
      <c r="S14" s="584">
        <f t="shared" ref="S14:S46" si="111">P14+Q14+R14+$D$54</f>
        <v>145.46102862172069</v>
      </c>
      <c r="T14" s="584">
        <f t="shared" ref="T14:T46" si="112">12*(((N14/12)*$D$56*($D$58-(((N14/12)*$D$56)/(1.7*$D$57))))-(($D$55/12)*(($D$58/2)-(((N14/12)*$D$56)/(1.7*$D$57)))))</f>
        <v>145.57361764705885</v>
      </c>
      <c r="U14" s="584">
        <f t="shared" ref="U14:U46" si="113">IF(T14&gt;S14,1,0)</f>
        <v>1</v>
      </c>
      <c r="V14" s="609">
        <f t="shared" si="91"/>
        <v>7.5</v>
      </c>
      <c r="W14" s="718">
        <v>0.47400000000000003</v>
      </c>
      <c r="X14" s="584">
        <f t="shared" si="92"/>
        <v>42.833333333333336</v>
      </c>
      <c r="Y14" s="584">
        <f t="shared" ref="Y14:Y46" si="114">1.25*(($D$49/12*$D$53*(X14/12)^2/2+0.5*($D$50-$D$49)/12*$D$53*(X14/12)^2/3)*12/1000+$D$51*(X14-5.7)/12*12/1000)</f>
        <v>25.398601538387343</v>
      </c>
      <c r="Z14" s="584">
        <f t="shared" ref="Z14:Z46" si="115">1.5*($D$52*((X14-$D$48)/12)^2/2*12/1000)</f>
        <v>0.43340277777777786</v>
      </c>
      <c r="AA14" s="584">
        <f t="shared" ref="AA14:AA46" si="116">0.5*1.33*1.2*(X14-$D$48-12)</f>
        <v>11.438000000000002</v>
      </c>
      <c r="AB14" s="584">
        <f t="shared" ref="AB14:AB46" si="117">Y14+Z14+AA14+$D$54</f>
        <v>143.19000431616513</v>
      </c>
      <c r="AC14" s="584">
        <f t="shared" ref="AC14:AC46" si="118">12*(((W14/12)*$D$56*($D$58-(((W14/12)*$D$56)/(1.7*$D$57))))-(($D$55/12)*(($D$58/2)-(((W14/12)*$D$56)/(1.7*$D$57)))))</f>
        <v>143.37361029411767</v>
      </c>
      <c r="AD14" s="584">
        <f t="shared" ref="AD14:AD46" si="119">IF(AC14&gt;AB14,1,0)</f>
        <v>1</v>
      </c>
      <c r="AE14" s="609">
        <f t="shared" si="93"/>
        <v>7.75</v>
      </c>
      <c r="AF14" s="718">
        <v>0.45600000000000002</v>
      </c>
      <c r="AG14" s="584">
        <f t="shared" si="94"/>
        <v>39.5</v>
      </c>
      <c r="AH14" s="584">
        <f t="shared" ref="AH14:AH46" si="120">1.25*(($D$49/12*$D$53*(AG14/12)^2/2+0.5*($D$50-$D$49)/12*$D$53*(AG14/12)^2/3)*12/1000+$D$51*(AG14-5.7)/12*12/1000)</f>
        <v>22.571143012152774</v>
      </c>
      <c r="AI14" s="584">
        <f t="shared" ref="AI14:AI46" si="121">1.5*($D$52*((AG14-$D$48)/12)^2/2*12/1000)</f>
        <v>0.330625</v>
      </c>
      <c r="AJ14" s="584">
        <f t="shared" ref="AJ14:AJ46" si="122">0.5*1.33*1.2*(AG14-$D$48-12)</f>
        <v>8.7780000000000005</v>
      </c>
      <c r="AK14" s="584">
        <f t="shared" ref="AK14:AK46" si="123">AH14+AI14+AJ14+$D$54</f>
        <v>137.59976801215277</v>
      </c>
      <c r="AL14" s="584">
        <f t="shared" ref="AL14:AL46" si="124">12*(((AF14/12)*$D$56*($D$58-(((AF14/12)*$D$56)/(1.7*$D$57))))-(($D$55/12)*(($D$58/2)-(((AF14/12)*$D$56)/(1.7*$D$57)))))</f>
        <v>137.69659558823531</v>
      </c>
      <c r="AM14" s="584">
        <f t="shared" ref="AM14:AM46" si="125">IF(AL14&gt;AK14,1,0)</f>
        <v>1</v>
      </c>
      <c r="AN14" s="609">
        <f t="shared" si="95"/>
        <v>8</v>
      </c>
      <c r="AO14" s="718">
        <v>0.42499999999999999</v>
      </c>
      <c r="AP14" s="584">
        <f t="shared" si="96"/>
        <v>33.5</v>
      </c>
      <c r="AQ14" s="584">
        <f t="shared" ref="AQ14:AQ46" si="126">1.25*(($D$49/12*$D$53*(AP14/12)^2/2+0.5*($D$50-$D$49)/12*$D$53*(AP14/12)^2/3)*12/1000+$D$51*(AP14-5.7)/12*12/1000)</f>
        <v>17.761085720486108</v>
      </c>
      <c r="AR14" s="584">
        <f t="shared" ref="AR14:AR46" si="127">1.5*($D$52*((AP14-$D$48)/12)^2/2*12/1000)</f>
        <v>0.18062500000000004</v>
      </c>
      <c r="AS14" s="584">
        <f t="shared" ref="AS14:AS46" si="128">0.5*1.33*1.2*(AP14-$D$48-12)</f>
        <v>3.99</v>
      </c>
      <c r="AT14" s="584">
        <f t="shared" ref="AT14:AT46" si="129">AQ14+AR14+AS14+$D$54</f>
        <v>127.85171072048611</v>
      </c>
      <c r="AU14" s="584">
        <f t="shared" ref="AU14:AU46" si="130">12*(((AO14/12)*$D$56*($D$58-(((AO14/12)*$D$56)/(1.7*$D$57))))-(($D$55/12)*(($D$58/2)-(((AO14/12)*$D$56)/(1.7*$D$57)))))</f>
        <v>127.85249999999999</v>
      </c>
      <c r="AV14" s="584">
        <f t="shared" ref="AV14:AV46" si="131">IF(AU14&gt;AT14,1,0)</f>
        <v>1</v>
      </c>
      <c r="AW14" s="609">
        <f t="shared" si="97"/>
        <v>8.75</v>
      </c>
      <c r="AX14" s="718">
        <v>0.48800000000000004</v>
      </c>
      <c r="AY14" s="584">
        <f t="shared" si="98"/>
        <v>45.5</v>
      </c>
      <c r="AZ14" s="584">
        <f t="shared" ref="AZ14:AZ46" si="132">1.25*(($D$49/12*$D$53*(AY14/12)^2/2+0.5*($D$50-$D$49)/12*$D$53*(AY14/12)^2/3)*12/1000+$D$51*(AY14-5.7)/12*12/1000)</f>
        <v>27.740387803819445</v>
      </c>
      <c r="BA14" s="584">
        <f t="shared" ref="BA14:BA46" si="133">1.5*($D$52*((AY14-$D$48)/12)^2/2*12/1000)</f>
        <v>0.52562500000000001</v>
      </c>
      <c r="BB14" s="584">
        <f t="shared" ref="BB14:BB46" si="134">0.5*1.33*1.2*(AY14-$D$48-12)</f>
        <v>13.566000000000001</v>
      </c>
      <c r="BC14" s="584">
        <f t="shared" ref="BC14:BC46" si="135">AZ14+BA14+BB14+$D$54</f>
        <v>147.75201280381944</v>
      </c>
      <c r="BD14" s="584">
        <f t="shared" ref="BD14:BD46" si="136">12*(((AX14/12)*$D$56*($D$58-(((AX14/12)*$D$56)/(1.7*$D$57))))-(($D$55/12)*(($D$58/2)-(((AX14/12)*$D$56)/(1.7*$D$57)))))</f>
        <v>147.76930147058823</v>
      </c>
      <c r="BE14" s="584">
        <f t="shared" ref="BE14:BE46" si="137">IF(BD14&gt;BC14,1,0)</f>
        <v>1</v>
      </c>
      <c r="BF14" s="609">
        <f t="shared" si="99"/>
        <v>7.5</v>
      </c>
      <c r="BG14" s="718">
        <v>0.56999999999999995</v>
      </c>
      <c r="BH14" s="599">
        <f t="shared" si="33"/>
        <v>40.666666666666664</v>
      </c>
      <c r="BI14" s="584">
        <f t="shared" si="34"/>
        <v>13.981476466049383</v>
      </c>
      <c r="BJ14" s="584">
        <f t="shared" si="35"/>
        <v>0.26694444444444443</v>
      </c>
      <c r="BK14" s="599">
        <f t="shared" si="36"/>
        <v>6.9159999999999986</v>
      </c>
      <c r="BL14" s="599">
        <f t="shared" si="37"/>
        <v>121.4952808988764</v>
      </c>
      <c r="BM14" s="584">
        <f t="shared" ref="BM14:BM46" si="138">BI14+BJ14+BK14+BL14</f>
        <v>142.65970180937023</v>
      </c>
      <c r="BN14" s="584">
        <f t="shared" si="38"/>
        <v>151.0568014705882</v>
      </c>
      <c r="BO14" s="584">
        <f t="shared" ref="BO14:BO46" si="139">IF(BN14&gt;BM14,1,0)</f>
        <v>1</v>
      </c>
      <c r="BP14" s="609">
        <f t="shared" si="40"/>
        <v>6.5</v>
      </c>
      <c r="BQ14" s="718">
        <v>0.57599999999999996</v>
      </c>
      <c r="BR14" s="599">
        <f t="shared" si="41"/>
        <v>47.666666666666664</v>
      </c>
      <c r="BS14" s="584">
        <f t="shared" si="42"/>
        <v>18.441665412808639</v>
      </c>
      <c r="BT14" s="584">
        <f t="shared" si="43"/>
        <v>0.47840277777777762</v>
      </c>
      <c r="BU14" s="599">
        <f t="shared" si="44"/>
        <v>12.501999999999999</v>
      </c>
      <c r="BV14" s="599">
        <f t="shared" si="45"/>
        <v>121.4952808988764</v>
      </c>
      <c r="BW14" s="584">
        <f t="shared" ref="BW14:BW46" si="140">BS14+BT14+BU14+BV14</f>
        <v>152.91734908946282</v>
      </c>
      <c r="BX14" s="584">
        <f t="shared" si="47"/>
        <v>152.93069852941173</v>
      </c>
      <c r="BY14" s="584">
        <f t="shared" ref="BY14:BY46" si="141">IF(BX14&gt;BW14,1,0)</f>
        <v>1</v>
      </c>
      <c r="BZ14" s="609">
        <f t="shared" si="49"/>
        <v>6.25</v>
      </c>
      <c r="CA14" s="718">
        <v>0.56999999999999995</v>
      </c>
      <c r="CB14" s="599">
        <f t="shared" si="50"/>
        <v>46.333333333333336</v>
      </c>
      <c r="CC14" s="584">
        <f t="shared" si="51"/>
        <v>17.55441309799383</v>
      </c>
      <c r="CD14" s="584">
        <f t="shared" si="52"/>
        <v>0.43340277777777786</v>
      </c>
      <c r="CE14" s="599">
        <f t="shared" si="53"/>
        <v>11.438000000000002</v>
      </c>
      <c r="CF14" s="599">
        <f t="shared" si="54"/>
        <v>121.4952808988764</v>
      </c>
      <c r="CG14" s="584">
        <f t="shared" ref="CG14:CG46" si="142">CC14+CD14+CE14+CF14</f>
        <v>150.92109677464802</v>
      </c>
      <c r="CH14" s="584">
        <f t="shared" si="56"/>
        <v>151.0568014705882</v>
      </c>
      <c r="CI14" s="584">
        <f t="shared" ref="CI14:CI46" si="143">IF(CH14&gt;CG14,1,0)</f>
        <v>1</v>
      </c>
      <c r="CJ14" s="609">
        <f t="shared" si="58"/>
        <v>6.5</v>
      </c>
      <c r="CK14" s="718">
        <v>0.56999999999999995</v>
      </c>
      <c r="CL14" s="599">
        <f t="shared" si="59"/>
        <v>43</v>
      </c>
      <c r="CM14" s="584">
        <f t="shared" si="60"/>
        <v>15.41388454861111</v>
      </c>
      <c r="CN14" s="584">
        <f t="shared" si="61"/>
        <v>0.330625</v>
      </c>
      <c r="CO14" s="599">
        <f t="shared" si="62"/>
        <v>8.7780000000000005</v>
      </c>
      <c r="CP14" s="599">
        <f t="shared" si="63"/>
        <v>121.4952808988764</v>
      </c>
      <c r="CQ14" s="584">
        <f t="shared" ref="CQ14:CQ46" si="144">CM14+CN14+CO14+CP14</f>
        <v>146.01779044748753</v>
      </c>
      <c r="CR14" s="584">
        <f t="shared" si="65"/>
        <v>151.0568014705882</v>
      </c>
      <c r="CS14" s="584">
        <f t="shared" ref="CS14:CS46" si="145">IF(CR14&gt;CQ14,1,0)</f>
        <v>1</v>
      </c>
      <c r="CT14" s="609">
        <f t="shared" si="67"/>
        <v>6.5</v>
      </c>
      <c r="CU14" s="718">
        <v>0.56999999999999995</v>
      </c>
      <c r="CV14" s="599">
        <f t="shared" si="68"/>
        <v>37</v>
      </c>
      <c r="CW14" s="584">
        <f t="shared" si="69"/>
        <v>11.84030121527778</v>
      </c>
      <c r="CX14" s="584">
        <f t="shared" si="70"/>
        <v>0.18062500000000004</v>
      </c>
      <c r="CY14" s="599">
        <f t="shared" si="71"/>
        <v>3.99</v>
      </c>
      <c r="CZ14" s="599">
        <f t="shared" si="72"/>
        <v>121.4952808988764</v>
      </c>
      <c r="DA14" s="584">
        <f t="shared" ref="DA14:DA46" si="146">CW14+CX14+CY14+CZ14</f>
        <v>137.50620711415417</v>
      </c>
      <c r="DB14" s="584">
        <f t="shared" si="74"/>
        <v>151.0568014705882</v>
      </c>
      <c r="DC14" s="584">
        <f t="shared" ref="DC14:DC46" si="147">IF(DB14&gt;DA14,1,0)</f>
        <v>1</v>
      </c>
      <c r="DD14" s="609">
        <f t="shared" si="76"/>
        <v>6.5</v>
      </c>
      <c r="DE14" s="718">
        <v>0.58299999999999996</v>
      </c>
      <c r="DF14" s="599">
        <f t="shared" si="77"/>
        <v>49</v>
      </c>
      <c r="DG14" s="584">
        <f t="shared" si="78"/>
        <v>19.346655381944441</v>
      </c>
      <c r="DH14" s="584">
        <f t="shared" si="79"/>
        <v>0.52562500000000001</v>
      </c>
      <c r="DI14" s="599">
        <f t="shared" si="80"/>
        <v>13.566000000000001</v>
      </c>
      <c r="DJ14" s="599">
        <f t="shared" si="81"/>
        <v>121.4952808988764</v>
      </c>
      <c r="DK14" s="584">
        <f t="shared" ref="DK14:DK46" si="148">DG14+DH14+DI14+DJ14</f>
        <v>154.93356128082084</v>
      </c>
      <c r="DL14" s="584">
        <f t="shared" si="83"/>
        <v>155.11289705882353</v>
      </c>
      <c r="DM14" s="584">
        <f t="shared" ref="DM14:DM46" si="149">IF(DL14&gt;DK14,1,0)</f>
        <v>1</v>
      </c>
      <c r="DN14" s="609">
        <f t="shared" si="85"/>
        <v>6.25</v>
      </c>
    </row>
    <row r="15" spans="1:118" x14ac:dyDescent="0.2">
      <c r="A15">
        <v>7</v>
      </c>
      <c r="C15" s="497">
        <v>3</v>
      </c>
      <c r="D15" s="600" t="s">
        <v>41</v>
      </c>
      <c r="E15" s="712">
        <v>0.46</v>
      </c>
      <c r="F15" s="584">
        <f t="shared" si="86"/>
        <v>40.166666666666664</v>
      </c>
      <c r="G15" s="584">
        <f t="shared" si="102"/>
        <v>23.127765890239193</v>
      </c>
      <c r="H15" s="584">
        <f t="shared" si="103"/>
        <v>0.35006944444444443</v>
      </c>
      <c r="I15" s="584">
        <f t="shared" si="104"/>
        <v>9.3099999999999987</v>
      </c>
      <c r="J15" s="584">
        <f t="shared" si="105"/>
        <v>138.70783533468364</v>
      </c>
      <c r="K15" s="584">
        <f t="shared" si="106"/>
        <v>138.96062500000002</v>
      </c>
      <c r="L15" s="584">
        <f t="shared" si="107"/>
        <v>1</v>
      </c>
      <c r="M15" s="609">
        <f t="shared" si="89"/>
        <v>8</v>
      </c>
      <c r="N15" s="715">
        <v>0.49800000000000005</v>
      </c>
      <c r="O15" s="584">
        <f t="shared" si="90"/>
        <v>47.166666666666664</v>
      </c>
      <c r="P15" s="584">
        <f t="shared" si="108"/>
        <v>29.24003383005401</v>
      </c>
      <c r="Q15" s="584">
        <f t="shared" si="109"/>
        <v>0.58777777777777773</v>
      </c>
      <c r="R15" s="584">
        <f t="shared" si="110"/>
        <v>14.895999999999999</v>
      </c>
      <c r="S15" s="584">
        <f t="shared" si="111"/>
        <v>150.64381160783179</v>
      </c>
      <c r="T15" s="584">
        <f t="shared" si="112"/>
        <v>150.89849264705884</v>
      </c>
      <c r="U15" s="584">
        <f t="shared" si="113"/>
        <v>1</v>
      </c>
      <c r="V15" s="609">
        <f t="shared" si="91"/>
        <v>7.25</v>
      </c>
      <c r="W15" s="718">
        <v>0.49000000000000005</v>
      </c>
      <c r="X15" s="584">
        <f t="shared" si="92"/>
        <v>45.833333333333336</v>
      </c>
      <c r="Y15" s="584">
        <f t="shared" si="114"/>
        <v>28.038099802276236</v>
      </c>
      <c r="Z15" s="584">
        <f t="shared" si="115"/>
        <v>0.53777777777777791</v>
      </c>
      <c r="AA15" s="584">
        <f t="shared" si="116"/>
        <v>13.832000000000003</v>
      </c>
      <c r="AB15" s="584">
        <f t="shared" si="117"/>
        <v>148.32787758005401</v>
      </c>
      <c r="AC15" s="584">
        <f t="shared" si="118"/>
        <v>148.39584558823532</v>
      </c>
      <c r="AD15" s="584">
        <f t="shared" si="119"/>
        <v>1</v>
      </c>
      <c r="AE15" s="609">
        <f t="shared" si="93"/>
        <v>7.5</v>
      </c>
      <c r="AF15" s="718">
        <v>0.47200000000000003</v>
      </c>
      <c r="AG15" s="584">
        <f t="shared" si="94"/>
        <v>42.5</v>
      </c>
      <c r="AH15" s="584">
        <f t="shared" si="120"/>
        <v>25.110866970486114</v>
      </c>
      <c r="AI15" s="584">
        <f t="shared" si="121"/>
        <v>0.42249999999999993</v>
      </c>
      <c r="AJ15" s="584">
        <f t="shared" si="122"/>
        <v>11.172000000000001</v>
      </c>
      <c r="AK15" s="584">
        <f t="shared" si="123"/>
        <v>142.62536697048611</v>
      </c>
      <c r="AL15" s="584">
        <f t="shared" si="124"/>
        <v>142.74424264705885</v>
      </c>
      <c r="AM15" s="584">
        <f t="shared" si="125"/>
        <v>1</v>
      </c>
      <c r="AN15" s="609">
        <f t="shared" si="95"/>
        <v>7.75</v>
      </c>
      <c r="AO15" s="718">
        <v>0.441</v>
      </c>
      <c r="AP15" s="584">
        <f t="shared" si="96"/>
        <v>36.5</v>
      </c>
      <c r="AQ15" s="584">
        <f t="shared" si="126"/>
        <v>20.121215928819446</v>
      </c>
      <c r="AR15" s="584">
        <f t="shared" si="127"/>
        <v>0.25</v>
      </c>
      <c r="AS15" s="584">
        <f t="shared" si="128"/>
        <v>6.3840000000000003</v>
      </c>
      <c r="AT15" s="584">
        <f t="shared" si="129"/>
        <v>132.67521592881945</v>
      </c>
      <c r="AU15" s="584">
        <f t="shared" si="130"/>
        <v>132.94391176470589</v>
      </c>
      <c r="AV15" s="584">
        <f t="shared" si="131"/>
        <v>1</v>
      </c>
      <c r="AW15" s="609">
        <f t="shared" si="97"/>
        <v>8.25</v>
      </c>
      <c r="AX15" s="718">
        <v>0.505</v>
      </c>
      <c r="AY15" s="584">
        <f t="shared" si="98"/>
        <v>48.5</v>
      </c>
      <c r="AZ15" s="584">
        <f t="shared" si="132"/>
        <v>30.459705512152773</v>
      </c>
      <c r="BA15" s="584">
        <f t="shared" si="133"/>
        <v>0.64</v>
      </c>
      <c r="BB15" s="584">
        <f t="shared" si="134"/>
        <v>15.96</v>
      </c>
      <c r="BC15" s="584">
        <f t="shared" si="135"/>
        <v>152.97970551215278</v>
      </c>
      <c r="BD15" s="584">
        <f t="shared" si="136"/>
        <v>153.08367647058822</v>
      </c>
      <c r="BE15" s="584">
        <f t="shared" si="137"/>
        <v>1</v>
      </c>
      <c r="BF15" s="609">
        <f t="shared" si="99"/>
        <v>7.25</v>
      </c>
      <c r="BG15" s="718">
        <v>0.56999999999999995</v>
      </c>
      <c r="BH15" s="599">
        <f t="shared" si="33"/>
        <v>43.666666666666664</v>
      </c>
      <c r="BI15" s="584">
        <f t="shared" si="34"/>
        <v>15.833121431327159</v>
      </c>
      <c r="BJ15" s="584">
        <f t="shared" si="35"/>
        <v>0.35006944444444443</v>
      </c>
      <c r="BK15" s="599">
        <f t="shared" si="36"/>
        <v>9.3099999999999987</v>
      </c>
      <c r="BL15" s="599">
        <f t="shared" si="37"/>
        <v>113.82189473684211</v>
      </c>
      <c r="BM15" s="584">
        <f t="shared" si="138"/>
        <v>139.3150856126137</v>
      </c>
      <c r="BN15" s="584">
        <f t="shared" si="38"/>
        <v>151.0568014705882</v>
      </c>
      <c r="BO15" s="584">
        <f t="shared" si="139"/>
        <v>1</v>
      </c>
      <c r="BP15" s="609">
        <f t="shared" si="40"/>
        <v>6.5</v>
      </c>
      <c r="BQ15" s="718">
        <v>0.56999999999999995</v>
      </c>
      <c r="BR15" s="599">
        <f t="shared" si="41"/>
        <v>50.666666666666664</v>
      </c>
      <c r="BS15" s="584">
        <f t="shared" si="42"/>
        <v>20.502836419753088</v>
      </c>
      <c r="BT15" s="584">
        <f t="shared" si="43"/>
        <v>0.58777777777777773</v>
      </c>
      <c r="BU15" s="599">
        <f t="shared" si="44"/>
        <v>14.895999999999999</v>
      </c>
      <c r="BV15" s="599">
        <f t="shared" si="45"/>
        <v>113.82189473684211</v>
      </c>
      <c r="BW15" s="584">
        <f t="shared" si="140"/>
        <v>149.80850893437298</v>
      </c>
      <c r="BX15" s="584">
        <f t="shared" si="47"/>
        <v>151.0568014705882</v>
      </c>
      <c r="BY15" s="584">
        <f t="shared" si="141"/>
        <v>1</v>
      </c>
      <c r="BZ15" s="609">
        <f t="shared" si="49"/>
        <v>6.5</v>
      </c>
      <c r="CA15" s="718">
        <v>0.56999999999999995</v>
      </c>
      <c r="CB15" s="599">
        <f t="shared" si="50"/>
        <v>49.333333333333336</v>
      </c>
      <c r="CC15" s="584">
        <f t="shared" si="51"/>
        <v>19.575674382716052</v>
      </c>
      <c r="CD15" s="584">
        <f t="shared" si="52"/>
        <v>0.53777777777777791</v>
      </c>
      <c r="CE15" s="599">
        <f t="shared" si="53"/>
        <v>13.832000000000003</v>
      </c>
      <c r="CF15" s="599">
        <f t="shared" si="54"/>
        <v>113.82189473684211</v>
      </c>
      <c r="CG15" s="584">
        <f t="shared" si="142"/>
        <v>147.76734689733593</v>
      </c>
      <c r="CH15" s="584">
        <f t="shared" si="56"/>
        <v>151.0568014705882</v>
      </c>
      <c r="CI15" s="584">
        <f t="shared" si="143"/>
        <v>1</v>
      </c>
      <c r="CJ15" s="609">
        <f t="shared" si="58"/>
        <v>6.5</v>
      </c>
      <c r="CK15" s="718">
        <v>0.56999999999999995</v>
      </c>
      <c r="CL15" s="599">
        <f t="shared" si="59"/>
        <v>46</v>
      </c>
      <c r="CM15" s="584">
        <f t="shared" si="60"/>
        <v>17.335371527777777</v>
      </c>
      <c r="CN15" s="584">
        <f t="shared" si="61"/>
        <v>0.42249999999999993</v>
      </c>
      <c r="CO15" s="599">
        <f t="shared" si="62"/>
        <v>11.172000000000001</v>
      </c>
      <c r="CP15" s="599">
        <f t="shared" si="63"/>
        <v>113.82189473684211</v>
      </c>
      <c r="CQ15" s="584">
        <f t="shared" si="144"/>
        <v>142.7517662646199</v>
      </c>
      <c r="CR15" s="584">
        <f t="shared" si="65"/>
        <v>151.0568014705882</v>
      </c>
      <c r="CS15" s="584">
        <f t="shared" si="145"/>
        <v>1</v>
      </c>
      <c r="CT15" s="609">
        <f t="shared" si="67"/>
        <v>6.5</v>
      </c>
      <c r="CU15" s="718">
        <v>0.56999999999999995</v>
      </c>
      <c r="CV15" s="599">
        <f t="shared" si="68"/>
        <v>40</v>
      </c>
      <c r="CW15" s="584">
        <f t="shared" si="69"/>
        <v>13.582194444444443</v>
      </c>
      <c r="CX15" s="584">
        <f t="shared" si="70"/>
        <v>0.25</v>
      </c>
      <c r="CY15" s="599">
        <f t="shared" si="71"/>
        <v>6.3840000000000003</v>
      </c>
      <c r="CZ15" s="599">
        <f t="shared" si="72"/>
        <v>113.82189473684211</v>
      </c>
      <c r="DA15" s="584">
        <f t="shared" si="146"/>
        <v>134.03808918128655</v>
      </c>
      <c r="DB15" s="584">
        <f t="shared" si="74"/>
        <v>151.0568014705882</v>
      </c>
      <c r="DC15" s="584">
        <f t="shared" si="147"/>
        <v>1</v>
      </c>
      <c r="DD15" s="609">
        <f t="shared" si="76"/>
        <v>6.5</v>
      </c>
      <c r="DE15" s="718">
        <v>0.57299999999999995</v>
      </c>
      <c r="DF15" s="599">
        <f t="shared" si="77"/>
        <v>52</v>
      </c>
      <c r="DG15" s="584">
        <f t="shared" si="78"/>
        <v>21.447736111111109</v>
      </c>
      <c r="DH15" s="584">
        <f t="shared" si="79"/>
        <v>0.64</v>
      </c>
      <c r="DI15" s="599">
        <f t="shared" si="80"/>
        <v>15.96</v>
      </c>
      <c r="DJ15" s="599">
        <f t="shared" si="81"/>
        <v>113.82189473684211</v>
      </c>
      <c r="DK15" s="584">
        <f t="shared" si="148"/>
        <v>151.8696308479532</v>
      </c>
      <c r="DL15" s="584">
        <f t="shared" si="83"/>
        <v>151.9941470588235</v>
      </c>
      <c r="DM15" s="584">
        <f t="shared" si="149"/>
        <v>1</v>
      </c>
      <c r="DN15" s="609">
        <f t="shared" si="85"/>
        <v>6.25</v>
      </c>
    </row>
    <row r="16" spans="1:118" x14ac:dyDescent="0.2">
      <c r="A16">
        <v>8</v>
      </c>
      <c r="C16" s="497">
        <v>3.25</v>
      </c>
      <c r="D16" s="600" t="s">
        <v>41</v>
      </c>
      <c r="E16" s="712">
        <v>0.47600000000000003</v>
      </c>
      <c r="F16" s="584">
        <f t="shared" si="86"/>
        <v>43.166666666666664</v>
      </c>
      <c r="G16" s="584">
        <f t="shared" si="102"/>
        <v>25.687444709683636</v>
      </c>
      <c r="H16" s="584">
        <f t="shared" si="103"/>
        <v>0.44444444444444431</v>
      </c>
      <c r="I16" s="584">
        <f t="shared" si="104"/>
        <v>11.703999999999999</v>
      </c>
      <c r="J16" s="584">
        <f t="shared" si="105"/>
        <v>143.75588915412808</v>
      </c>
      <c r="K16" s="584">
        <f t="shared" si="106"/>
        <v>144.00262500000005</v>
      </c>
      <c r="L16" s="584">
        <f t="shared" si="107"/>
        <v>1</v>
      </c>
      <c r="M16" s="609">
        <f t="shared" si="89"/>
        <v>7.75</v>
      </c>
      <c r="N16" s="715">
        <v>0.51500000000000001</v>
      </c>
      <c r="O16" s="584">
        <f t="shared" si="90"/>
        <v>50.166666666666664</v>
      </c>
      <c r="P16" s="584">
        <f t="shared" si="108"/>
        <v>32.009238691165123</v>
      </c>
      <c r="Q16" s="584">
        <f t="shared" si="109"/>
        <v>0.7084027777777776</v>
      </c>
      <c r="R16" s="584">
        <f t="shared" si="110"/>
        <v>17.29</v>
      </c>
      <c r="S16" s="584">
        <f t="shared" si="111"/>
        <v>155.92764146894291</v>
      </c>
      <c r="T16" s="584">
        <f t="shared" si="112"/>
        <v>156.19786764705879</v>
      </c>
      <c r="U16" s="584">
        <f t="shared" si="113"/>
        <v>1</v>
      </c>
      <c r="V16" s="609">
        <f t="shared" si="91"/>
        <v>7</v>
      </c>
      <c r="W16" s="718">
        <v>0.50700000000000001</v>
      </c>
      <c r="X16" s="584">
        <f t="shared" si="92"/>
        <v>48.833333333333336</v>
      </c>
      <c r="Y16" s="584">
        <f t="shared" si="114"/>
        <v>30.767394941165122</v>
      </c>
      <c r="Z16" s="584">
        <f t="shared" si="115"/>
        <v>0.65340277777777789</v>
      </c>
      <c r="AA16" s="584">
        <f t="shared" si="116"/>
        <v>16.226000000000003</v>
      </c>
      <c r="AB16" s="584">
        <f t="shared" si="117"/>
        <v>153.56679771894289</v>
      </c>
      <c r="AC16" s="584">
        <f t="shared" si="118"/>
        <v>153.70722058823529</v>
      </c>
      <c r="AD16" s="584">
        <f t="shared" si="119"/>
        <v>1</v>
      </c>
      <c r="AE16" s="609">
        <f t="shared" si="93"/>
        <v>7.25</v>
      </c>
      <c r="AF16" s="718">
        <v>0.48800000000000004</v>
      </c>
      <c r="AG16" s="584">
        <f t="shared" si="94"/>
        <v>45.5</v>
      </c>
      <c r="AH16" s="584">
        <f t="shared" si="120"/>
        <v>27.740387803819445</v>
      </c>
      <c r="AI16" s="584">
        <f t="shared" si="121"/>
        <v>0.52562500000000001</v>
      </c>
      <c r="AJ16" s="584">
        <f t="shared" si="122"/>
        <v>13.566000000000001</v>
      </c>
      <c r="AK16" s="584">
        <f t="shared" si="123"/>
        <v>147.75201280381944</v>
      </c>
      <c r="AL16" s="584">
        <f t="shared" si="124"/>
        <v>147.76930147058823</v>
      </c>
      <c r="AM16" s="584">
        <f t="shared" si="125"/>
        <v>1</v>
      </c>
      <c r="AN16" s="609">
        <f t="shared" si="95"/>
        <v>7.5</v>
      </c>
      <c r="AO16" s="718">
        <v>0.45600000000000002</v>
      </c>
      <c r="AP16" s="584">
        <f t="shared" si="96"/>
        <v>39.5</v>
      </c>
      <c r="AQ16" s="584">
        <f t="shared" si="126"/>
        <v>22.571143012152774</v>
      </c>
      <c r="AR16" s="584">
        <f t="shared" si="127"/>
        <v>0.330625</v>
      </c>
      <c r="AS16" s="584">
        <f t="shared" si="128"/>
        <v>8.7780000000000005</v>
      </c>
      <c r="AT16" s="584">
        <f t="shared" si="129"/>
        <v>137.59976801215277</v>
      </c>
      <c r="AU16" s="584">
        <f t="shared" si="130"/>
        <v>137.69659558823531</v>
      </c>
      <c r="AV16" s="584">
        <f t="shared" si="131"/>
        <v>1</v>
      </c>
      <c r="AW16" s="609">
        <f t="shared" si="97"/>
        <v>8</v>
      </c>
      <c r="AX16" s="718">
        <v>0.52200000000000002</v>
      </c>
      <c r="AY16" s="584">
        <f t="shared" si="98"/>
        <v>51.5</v>
      </c>
      <c r="AZ16" s="584">
        <f t="shared" si="132"/>
        <v>33.268820095486113</v>
      </c>
      <c r="BA16" s="584">
        <f t="shared" si="133"/>
        <v>0.76562499999999978</v>
      </c>
      <c r="BB16" s="584">
        <f t="shared" si="134"/>
        <v>18.353999999999999</v>
      </c>
      <c r="BC16" s="584">
        <f t="shared" si="135"/>
        <v>158.30844509548612</v>
      </c>
      <c r="BD16" s="584">
        <f t="shared" si="136"/>
        <v>158.37255147058826</v>
      </c>
      <c r="BE16" s="584">
        <f t="shared" si="137"/>
        <v>1</v>
      </c>
      <c r="BF16" s="609">
        <f t="shared" si="99"/>
        <v>7</v>
      </c>
      <c r="BG16" s="718">
        <v>0.56999999999999995</v>
      </c>
      <c r="BH16" s="599">
        <f t="shared" si="33"/>
        <v>46.666666666666664</v>
      </c>
      <c r="BI16" s="584">
        <f t="shared" si="34"/>
        <v>17.774563271604936</v>
      </c>
      <c r="BJ16" s="584">
        <f t="shared" si="35"/>
        <v>0.44444444444444431</v>
      </c>
      <c r="BK16" s="599">
        <f t="shared" si="36"/>
        <v>11.703999999999999</v>
      </c>
      <c r="BL16" s="599">
        <f t="shared" si="37"/>
        <v>107.06019801980197</v>
      </c>
      <c r="BM16" s="584">
        <f t="shared" si="138"/>
        <v>136.98320573585136</v>
      </c>
      <c r="BN16" s="584">
        <f t="shared" si="38"/>
        <v>151.0568014705882</v>
      </c>
      <c r="BO16" s="584">
        <f t="shared" si="139"/>
        <v>1</v>
      </c>
      <c r="BP16" s="609">
        <f t="shared" si="40"/>
        <v>6.5</v>
      </c>
      <c r="BQ16" s="718">
        <v>0.56999999999999995</v>
      </c>
      <c r="BR16" s="599">
        <f t="shared" si="41"/>
        <v>53.666666666666664</v>
      </c>
      <c r="BS16" s="584">
        <f t="shared" si="42"/>
        <v>22.65380430169753</v>
      </c>
      <c r="BT16" s="584">
        <f t="shared" si="43"/>
        <v>0.7084027777777776</v>
      </c>
      <c r="BU16" s="599">
        <f t="shared" si="44"/>
        <v>17.29</v>
      </c>
      <c r="BV16" s="599">
        <f t="shared" si="45"/>
        <v>107.06019801980197</v>
      </c>
      <c r="BW16" s="584">
        <f t="shared" si="140"/>
        <v>147.71240509927728</v>
      </c>
      <c r="BX16" s="584">
        <f t="shared" si="47"/>
        <v>151.0568014705882</v>
      </c>
      <c r="BY16" s="584">
        <f t="shared" si="141"/>
        <v>1</v>
      </c>
      <c r="BZ16" s="609">
        <f t="shared" si="49"/>
        <v>6.5</v>
      </c>
      <c r="CA16" s="718">
        <v>0.56999999999999995</v>
      </c>
      <c r="CB16" s="599">
        <f t="shared" si="50"/>
        <v>52.333333333333336</v>
      </c>
      <c r="CC16" s="584">
        <f t="shared" si="51"/>
        <v>21.686732542438275</v>
      </c>
      <c r="CD16" s="584">
        <f t="shared" si="52"/>
        <v>0.65340277777777789</v>
      </c>
      <c r="CE16" s="599">
        <f t="shared" si="53"/>
        <v>16.226000000000003</v>
      </c>
      <c r="CF16" s="599">
        <f t="shared" si="54"/>
        <v>107.06019801980197</v>
      </c>
      <c r="CG16" s="584">
        <f t="shared" si="142"/>
        <v>145.62633334001802</v>
      </c>
      <c r="CH16" s="584">
        <f t="shared" si="56"/>
        <v>151.0568014705882</v>
      </c>
      <c r="CI16" s="584">
        <f t="shared" si="143"/>
        <v>1</v>
      </c>
      <c r="CJ16" s="609">
        <f t="shared" si="58"/>
        <v>6.5</v>
      </c>
      <c r="CK16" s="718">
        <v>0.56999999999999995</v>
      </c>
      <c r="CL16" s="599">
        <f t="shared" si="59"/>
        <v>49</v>
      </c>
      <c r="CM16" s="584">
        <f t="shared" si="60"/>
        <v>19.346655381944441</v>
      </c>
      <c r="CN16" s="584">
        <f t="shared" si="61"/>
        <v>0.52562500000000001</v>
      </c>
      <c r="CO16" s="599">
        <f t="shared" si="62"/>
        <v>13.566000000000001</v>
      </c>
      <c r="CP16" s="599">
        <f t="shared" si="63"/>
        <v>107.06019801980197</v>
      </c>
      <c r="CQ16" s="584">
        <f t="shared" si="144"/>
        <v>140.49847840174641</v>
      </c>
      <c r="CR16" s="584">
        <f t="shared" si="65"/>
        <v>151.0568014705882</v>
      </c>
      <c r="CS16" s="584">
        <f t="shared" si="145"/>
        <v>1</v>
      </c>
      <c r="CT16" s="609">
        <f t="shared" si="67"/>
        <v>6.5</v>
      </c>
      <c r="CU16" s="718">
        <v>0.56999999999999995</v>
      </c>
      <c r="CV16" s="599">
        <f t="shared" si="68"/>
        <v>43</v>
      </c>
      <c r="CW16" s="584">
        <f t="shared" si="69"/>
        <v>15.41388454861111</v>
      </c>
      <c r="CX16" s="584">
        <f t="shared" si="70"/>
        <v>0.330625</v>
      </c>
      <c r="CY16" s="599">
        <f t="shared" si="71"/>
        <v>8.7780000000000005</v>
      </c>
      <c r="CZ16" s="599">
        <f t="shared" si="72"/>
        <v>107.06019801980197</v>
      </c>
      <c r="DA16" s="584">
        <f t="shared" si="146"/>
        <v>131.58270756841307</v>
      </c>
      <c r="DB16" s="584">
        <f t="shared" si="74"/>
        <v>151.0568014705882</v>
      </c>
      <c r="DC16" s="584">
        <f t="shared" si="147"/>
        <v>1</v>
      </c>
      <c r="DD16" s="609">
        <f t="shared" si="76"/>
        <v>6.5</v>
      </c>
      <c r="DE16" s="718">
        <v>0.56999999999999995</v>
      </c>
      <c r="DF16" s="599">
        <f t="shared" si="77"/>
        <v>55</v>
      </c>
      <c r="DG16" s="584">
        <f t="shared" si="78"/>
        <v>23.638613715277774</v>
      </c>
      <c r="DH16" s="584">
        <f t="shared" si="79"/>
        <v>0.76562499999999978</v>
      </c>
      <c r="DI16" s="599">
        <f t="shared" si="80"/>
        <v>18.353999999999999</v>
      </c>
      <c r="DJ16" s="599">
        <f t="shared" si="81"/>
        <v>107.06019801980197</v>
      </c>
      <c r="DK16" s="584">
        <f t="shared" si="148"/>
        <v>149.81843673507973</v>
      </c>
      <c r="DL16" s="584">
        <f t="shared" si="83"/>
        <v>151.0568014705882</v>
      </c>
      <c r="DM16" s="584">
        <f t="shared" si="149"/>
        <v>1</v>
      </c>
      <c r="DN16" s="609">
        <f t="shared" si="85"/>
        <v>6.5</v>
      </c>
    </row>
    <row r="17" spans="1:118" x14ac:dyDescent="0.2">
      <c r="A17">
        <v>9</v>
      </c>
      <c r="C17" s="497">
        <v>3.5</v>
      </c>
      <c r="D17" s="600" t="s">
        <v>41</v>
      </c>
      <c r="E17" s="712">
        <v>0.49200000000000005</v>
      </c>
      <c r="F17" s="584">
        <f t="shared" si="86"/>
        <v>46.166666666666664</v>
      </c>
      <c r="G17" s="584">
        <f t="shared" si="102"/>
        <v>28.336920404128083</v>
      </c>
      <c r="H17" s="584">
        <f t="shared" si="103"/>
        <v>0.55006944444444417</v>
      </c>
      <c r="I17" s="584">
        <f t="shared" si="104"/>
        <v>14.097999999999999</v>
      </c>
      <c r="J17" s="584">
        <f t="shared" si="105"/>
        <v>148.90498984857254</v>
      </c>
      <c r="K17" s="584">
        <f t="shared" si="106"/>
        <v>149.02203676470589</v>
      </c>
      <c r="L17" s="584">
        <f t="shared" si="107"/>
        <v>1</v>
      </c>
      <c r="M17" s="609">
        <f t="shared" si="89"/>
        <v>7.5</v>
      </c>
      <c r="N17" s="715">
        <v>0.53200000000000003</v>
      </c>
      <c r="O17" s="584">
        <f t="shared" si="90"/>
        <v>53.166666666666664</v>
      </c>
      <c r="P17" s="584">
        <f t="shared" si="108"/>
        <v>34.868240427276234</v>
      </c>
      <c r="Q17" s="584">
        <f t="shared" si="109"/>
        <v>0.84027777777777768</v>
      </c>
      <c r="R17" s="584">
        <f t="shared" si="110"/>
        <v>19.683999999999997</v>
      </c>
      <c r="S17" s="584">
        <f t="shared" si="111"/>
        <v>161.312518205054</v>
      </c>
      <c r="T17" s="584">
        <f t="shared" si="112"/>
        <v>161.47174264705882</v>
      </c>
      <c r="U17" s="584">
        <f t="shared" si="113"/>
        <v>1</v>
      </c>
      <c r="V17" s="609">
        <f t="shared" si="91"/>
        <v>6.75</v>
      </c>
      <c r="W17" s="718">
        <v>0.52400000000000002</v>
      </c>
      <c r="X17" s="584">
        <f t="shared" si="92"/>
        <v>51.833333333333336</v>
      </c>
      <c r="Y17" s="584">
        <f t="shared" si="114"/>
        <v>33.586486955054013</v>
      </c>
      <c r="Z17" s="584">
        <f t="shared" si="115"/>
        <v>0.78027777777777785</v>
      </c>
      <c r="AA17" s="584">
        <f t="shared" si="116"/>
        <v>18.620000000000005</v>
      </c>
      <c r="AB17" s="584">
        <f t="shared" si="117"/>
        <v>158.90676473283179</v>
      </c>
      <c r="AC17" s="584">
        <f t="shared" si="118"/>
        <v>158.99309558823526</v>
      </c>
      <c r="AD17" s="584">
        <f t="shared" si="119"/>
        <v>1</v>
      </c>
      <c r="AE17" s="609">
        <f t="shared" si="93"/>
        <v>7</v>
      </c>
      <c r="AF17" s="718">
        <v>0.505</v>
      </c>
      <c r="AG17" s="584">
        <f t="shared" si="94"/>
        <v>48.5</v>
      </c>
      <c r="AH17" s="584">
        <f t="shared" si="120"/>
        <v>30.459705512152773</v>
      </c>
      <c r="AI17" s="584">
        <f t="shared" si="121"/>
        <v>0.64</v>
      </c>
      <c r="AJ17" s="584">
        <f t="shared" si="122"/>
        <v>15.96</v>
      </c>
      <c r="AK17" s="584">
        <f t="shared" si="123"/>
        <v>152.97970551215278</v>
      </c>
      <c r="AL17" s="584">
        <f t="shared" si="124"/>
        <v>153.08367647058822</v>
      </c>
      <c r="AM17" s="584">
        <f t="shared" si="125"/>
        <v>1</v>
      </c>
      <c r="AN17" s="609">
        <f t="shared" si="95"/>
        <v>7.25</v>
      </c>
      <c r="AO17" s="718">
        <v>0.47200000000000003</v>
      </c>
      <c r="AP17" s="584">
        <f t="shared" si="96"/>
        <v>42.5</v>
      </c>
      <c r="AQ17" s="584">
        <f t="shared" si="126"/>
        <v>25.110866970486114</v>
      </c>
      <c r="AR17" s="584">
        <f t="shared" si="127"/>
        <v>0.42249999999999993</v>
      </c>
      <c r="AS17" s="584">
        <f t="shared" si="128"/>
        <v>11.172000000000001</v>
      </c>
      <c r="AT17" s="584">
        <f t="shared" si="129"/>
        <v>142.62536697048611</v>
      </c>
      <c r="AU17" s="584">
        <f t="shared" si="130"/>
        <v>142.74424264705885</v>
      </c>
      <c r="AV17" s="584">
        <f t="shared" si="131"/>
        <v>1</v>
      </c>
      <c r="AW17" s="609">
        <f t="shared" si="97"/>
        <v>7.75</v>
      </c>
      <c r="AX17" s="718">
        <v>0.54</v>
      </c>
      <c r="AY17" s="584">
        <f t="shared" si="98"/>
        <v>54.5</v>
      </c>
      <c r="AZ17" s="584">
        <f t="shared" si="132"/>
        <v>36.167731553819436</v>
      </c>
      <c r="BA17" s="584">
        <f t="shared" si="133"/>
        <v>0.90250000000000008</v>
      </c>
      <c r="BB17" s="584">
        <f t="shared" si="134"/>
        <v>20.748000000000001</v>
      </c>
      <c r="BC17" s="584">
        <f t="shared" si="135"/>
        <v>163.73823155381945</v>
      </c>
      <c r="BD17" s="584">
        <f t="shared" si="136"/>
        <v>163.94474264705883</v>
      </c>
      <c r="BE17" s="584">
        <f t="shared" si="137"/>
        <v>1</v>
      </c>
      <c r="BF17" s="609">
        <f t="shared" si="99"/>
        <v>6.75</v>
      </c>
      <c r="BG17" s="718">
        <v>0.56999999999999995</v>
      </c>
      <c r="BH17" s="599">
        <f t="shared" si="33"/>
        <v>49.666666666666664</v>
      </c>
      <c r="BI17" s="584">
        <f t="shared" si="34"/>
        <v>19.805801986882713</v>
      </c>
      <c r="BJ17" s="584">
        <f t="shared" si="35"/>
        <v>0.55006944444444417</v>
      </c>
      <c r="BK17" s="599">
        <f t="shared" si="36"/>
        <v>14.097999999999999</v>
      </c>
      <c r="BL17" s="599">
        <f t="shared" si="37"/>
        <v>101.05682242990655</v>
      </c>
      <c r="BM17" s="584">
        <f t="shared" si="138"/>
        <v>135.5106938612337</v>
      </c>
      <c r="BN17" s="584">
        <f t="shared" si="38"/>
        <v>151.0568014705882</v>
      </c>
      <c r="BO17" s="584">
        <f t="shared" si="139"/>
        <v>1</v>
      </c>
      <c r="BP17" s="609">
        <f t="shared" si="40"/>
        <v>6.5</v>
      </c>
      <c r="BQ17" s="718">
        <v>0.56999999999999995</v>
      </c>
      <c r="BR17" s="599">
        <f t="shared" si="41"/>
        <v>56.666666666666664</v>
      </c>
      <c r="BS17" s="584">
        <f t="shared" si="42"/>
        <v>24.894569058641977</v>
      </c>
      <c r="BT17" s="584">
        <f t="shared" si="43"/>
        <v>0.84027777777777768</v>
      </c>
      <c r="BU17" s="599">
        <f t="shared" si="44"/>
        <v>19.683999999999997</v>
      </c>
      <c r="BV17" s="599">
        <f t="shared" si="45"/>
        <v>101.05682242990655</v>
      </c>
      <c r="BW17" s="584">
        <f t="shared" si="140"/>
        <v>146.47566926632629</v>
      </c>
      <c r="BX17" s="584">
        <f t="shared" si="47"/>
        <v>151.0568014705882</v>
      </c>
      <c r="BY17" s="584">
        <f t="shared" si="141"/>
        <v>1</v>
      </c>
      <c r="BZ17" s="609">
        <f t="shared" si="49"/>
        <v>6.5</v>
      </c>
      <c r="CA17" s="718">
        <v>0.56999999999999995</v>
      </c>
      <c r="CB17" s="599">
        <f t="shared" si="50"/>
        <v>55.333333333333336</v>
      </c>
      <c r="CC17" s="584">
        <f t="shared" si="51"/>
        <v>23.887587577160495</v>
      </c>
      <c r="CD17" s="584">
        <f t="shared" si="52"/>
        <v>0.78027777777777785</v>
      </c>
      <c r="CE17" s="599">
        <f t="shared" si="53"/>
        <v>18.620000000000005</v>
      </c>
      <c r="CF17" s="599">
        <f t="shared" si="54"/>
        <v>101.05682242990655</v>
      </c>
      <c r="CG17" s="584">
        <f t="shared" si="142"/>
        <v>144.34468778484484</v>
      </c>
      <c r="CH17" s="584">
        <f t="shared" si="56"/>
        <v>151.0568014705882</v>
      </c>
      <c r="CI17" s="584">
        <f t="shared" si="143"/>
        <v>1</v>
      </c>
      <c r="CJ17" s="609">
        <f t="shared" si="58"/>
        <v>6.5</v>
      </c>
      <c r="CK17" s="718">
        <v>0.56999999999999995</v>
      </c>
      <c r="CL17" s="599">
        <f t="shared" si="59"/>
        <v>52</v>
      </c>
      <c r="CM17" s="584">
        <f t="shared" si="60"/>
        <v>21.447736111111109</v>
      </c>
      <c r="CN17" s="584">
        <f t="shared" si="61"/>
        <v>0.64</v>
      </c>
      <c r="CO17" s="599">
        <f t="shared" si="62"/>
        <v>15.96</v>
      </c>
      <c r="CP17" s="599">
        <f t="shared" si="63"/>
        <v>101.05682242990655</v>
      </c>
      <c r="CQ17" s="584">
        <f t="shared" si="144"/>
        <v>139.10455854101764</v>
      </c>
      <c r="CR17" s="584">
        <f t="shared" si="65"/>
        <v>151.0568014705882</v>
      </c>
      <c r="CS17" s="584">
        <f t="shared" si="145"/>
        <v>1</v>
      </c>
      <c r="CT17" s="609">
        <f t="shared" si="67"/>
        <v>6.5</v>
      </c>
      <c r="CU17" s="718">
        <v>0.56999999999999995</v>
      </c>
      <c r="CV17" s="599">
        <f t="shared" si="68"/>
        <v>46</v>
      </c>
      <c r="CW17" s="584">
        <f t="shared" si="69"/>
        <v>17.335371527777777</v>
      </c>
      <c r="CX17" s="584">
        <f t="shared" si="70"/>
        <v>0.42249999999999993</v>
      </c>
      <c r="CY17" s="599">
        <f t="shared" si="71"/>
        <v>11.172000000000001</v>
      </c>
      <c r="CZ17" s="599">
        <f t="shared" si="72"/>
        <v>101.05682242990655</v>
      </c>
      <c r="DA17" s="584">
        <f t="shared" si="146"/>
        <v>129.98669395768434</v>
      </c>
      <c r="DB17" s="584">
        <f t="shared" si="74"/>
        <v>151.0568014705882</v>
      </c>
      <c r="DC17" s="584">
        <f t="shared" si="147"/>
        <v>1</v>
      </c>
      <c r="DD17" s="609">
        <f t="shared" si="76"/>
        <v>6.5</v>
      </c>
      <c r="DE17" s="718">
        <v>0.56999999999999995</v>
      </c>
      <c r="DF17" s="599">
        <f t="shared" si="77"/>
        <v>58</v>
      </c>
      <c r="DG17" s="584">
        <f t="shared" si="78"/>
        <v>25.919288194444441</v>
      </c>
      <c r="DH17" s="584">
        <f t="shared" si="79"/>
        <v>0.90250000000000008</v>
      </c>
      <c r="DI17" s="599">
        <f t="shared" si="80"/>
        <v>20.748000000000001</v>
      </c>
      <c r="DJ17" s="599">
        <f t="shared" si="81"/>
        <v>101.05682242990655</v>
      </c>
      <c r="DK17" s="584">
        <f t="shared" si="148"/>
        <v>148.62661062435097</v>
      </c>
      <c r="DL17" s="584">
        <f t="shared" si="83"/>
        <v>151.0568014705882</v>
      </c>
      <c r="DM17" s="584">
        <f t="shared" si="149"/>
        <v>1</v>
      </c>
      <c r="DN17" s="609">
        <f t="shared" si="85"/>
        <v>6.5</v>
      </c>
    </row>
    <row r="18" spans="1:118" x14ac:dyDescent="0.2">
      <c r="A18">
        <v>10</v>
      </c>
      <c r="C18" s="497">
        <v>3.75</v>
      </c>
      <c r="D18" s="600" t="s">
        <v>41</v>
      </c>
      <c r="E18" s="712">
        <v>0.50900000000000001</v>
      </c>
      <c r="F18" s="584">
        <f t="shared" si="86"/>
        <v>49.166666666666664</v>
      </c>
      <c r="G18" s="584">
        <f t="shared" si="102"/>
        <v>31.076192973572532</v>
      </c>
      <c r="H18" s="584">
        <f t="shared" si="103"/>
        <v>0.66694444444444434</v>
      </c>
      <c r="I18" s="584">
        <f t="shared" si="104"/>
        <v>16.491999999999997</v>
      </c>
      <c r="J18" s="584">
        <f t="shared" si="105"/>
        <v>154.15513741801698</v>
      </c>
      <c r="K18" s="584">
        <f t="shared" si="106"/>
        <v>154.33041176470587</v>
      </c>
      <c r="L18" s="584">
        <f t="shared" si="107"/>
        <v>1</v>
      </c>
      <c r="M18" s="609">
        <f t="shared" si="89"/>
        <v>7.25</v>
      </c>
      <c r="N18" s="715">
        <v>0.55000000000000004</v>
      </c>
      <c r="O18" s="584">
        <f t="shared" si="90"/>
        <v>56.166666666666664</v>
      </c>
      <c r="P18" s="584">
        <f t="shared" si="108"/>
        <v>37.817039038387342</v>
      </c>
      <c r="Q18" s="584">
        <f t="shared" si="109"/>
        <v>0.98340277777777763</v>
      </c>
      <c r="R18" s="584">
        <f t="shared" si="110"/>
        <v>22.077999999999999</v>
      </c>
      <c r="S18" s="584">
        <f t="shared" si="111"/>
        <v>166.79844181616511</v>
      </c>
      <c r="T18" s="584">
        <f t="shared" si="112"/>
        <v>167.02805147058825</v>
      </c>
      <c r="U18" s="584">
        <f t="shared" si="113"/>
        <v>1</v>
      </c>
      <c r="V18" s="609">
        <f t="shared" si="91"/>
        <v>6.75</v>
      </c>
      <c r="W18" s="718">
        <v>0.54200000000000004</v>
      </c>
      <c r="X18" s="584">
        <f t="shared" si="92"/>
        <v>54.833333333333336</v>
      </c>
      <c r="Y18" s="584">
        <f t="shared" si="114"/>
        <v>36.495375843942902</v>
      </c>
      <c r="Z18" s="584">
        <f t="shared" si="115"/>
        <v>0.9184027777777779</v>
      </c>
      <c r="AA18" s="584">
        <f t="shared" si="116"/>
        <v>21.014000000000003</v>
      </c>
      <c r="AB18" s="584">
        <f t="shared" si="117"/>
        <v>164.34777862172069</v>
      </c>
      <c r="AC18" s="584">
        <f t="shared" si="118"/>
        <v>164.56211029411764</v>
      </c>
      <c r="AD18" s="584">
        <f t="shared" si="119"/>
        <v>1</v>
      </c>
      <c r="AE18" s="609">
        <f t="shared" si="93"/>
        <v>6.75</v>
      </c>
      <c r="AF18" s="718">
        <v>0.52200000000000002</v>
      </c>
      <c r="AG18" s="584">
        <f t="shared" si="94"/>
        <v>51.5</v>
      </c>
      <c r="AH18" s="584">
        <f t="shared" si="120"/>
        <v>33.268820095486113</v>
      </c>
      <c r="AI18" s="584">
        <f t="shared" si="121"/>
        <v>0.76562499999999978</v>
      </c>
      <c r="AJ18" s="584">
        <f t="shared" si="122"/>
        <v>18.353999999999999</v>
      </c>
      <c r="AK18" s="584">
        <f t="shared" si="123"/>
        <v>158.30844509548612</v>
      </c>
      <c r="AL18" s="584">
        <f t="shared" si="124"/>
        <v>158.37255147058826</v>
      </c>
      <c r="AM18" s="584">
        <f t="shared" si="125"/>
        <v>1</v>
      </c>
      <c r="AN18" s="609">
        <f t="shared" si="95"/>
        <v>7</v>
      </c>
      <c r="AO18" s="718">
        <v>0.48800000000000004</v>
      </c>
      <c r="AP18" s="584">
        <f t="shared" si="96"/>
        <v>45.5</v>
      </c>
      <c r="AQ18" s="584">
        <f t="shared" si="126"/>
        <v>27.740387803819445</v>
      </c>
      <c r="AR18" s="584">
        <f t="shared" si="127"/>
        <v>0.52562500000000001</v>
      </c>
      <c r="AS18" s="584">
        <f t="shared" si="128"/>
        <v>13.566000000000001</v>
      </c>
      <c r="AT18" s="584">
        <f t="shared" si="129"/>
        <v>147.75201280381944</v>
      </c>
      <c r="AU18" s="584">
        <f t="shared" si="130"/>
        <v>147.76930147058823</v>
      </c>
      <c r="AV18" s="584">
        <f t="shared" si="131"/>
        <v>1</v>
      </c>
      <c r="AW18" s="609">
        <f t="shared" si="97"/>
        <v>7.5</v>
      </c>
      <c r="AX18" s="718">
        <v>0.55800000000000005</v>
      </c>
      <c r="AY18" s="584">
        <f t="shared" si="98"/>
        <v>57.5</v>
      </c>
      <c r="AZ18" s="584">
        <f t="shared" si="132"/>
        <v>39.156439887152779</v>
      </c>
      <c r="BA18" s="584">
        <f t="shared" si="133"/>
        <v>1.0506250000000001</v>
      </c>
      <c r="BB18" s="584">
        <f t="shared" si="134"/>
        <v>23.142000000000003</v>
      </c>
      <c r="BC18" s="584">
        <f t="shared" si="135"/>
        <v>169.26906488715278</v>
      </c>
      <c r="BD18" s="584">
        <f t="shared" si="136"/>
        <v>169.48834558823532</v>
      </c>
      <c r="BE18" s="584">
        <f t="shared" si="137"/>
        <v>1</v>
      </c>
      <c r="BF18" s="609">
        <f t="shared" si="99"/>
        <v>6.5</v>
      </c>
      <c r="BG18" s="718">
        <v>0.56999999999999995</v>
      </c>
      <c r="BH18" s="599">
        <f t="shared" si="33"/>
        <v>52.666666666666664</v>
      </c>
      <c r="BI18" s="584">
        <f t="shared" si="34"/>
        <v>21.926837577160487</v>
      </c>
      <c r="BJ18" s="584">
        <f t="shared" si="35"/>
        <v>0.66694444444444434</v>
      </c>
      <c r="BK18" s="599">
        <f t="shared" si="36"/>
        <v>16.491999999999997</v>
      </c>
      <c r="BL18" s="599">
        <f t="shared" si="37"/>
        <v>97.415135135135131</v>
      </c>
      <c r="BM18" s="584">
        <f t="shared" si="138"/>
        <v>136.50091715674006</v>
      </c>
      <c r="BN18" s="584">
        <f t="shared" si="38"/>
        <v>151.0568014705882</v>
      </c>
      <c r="BO18" s="584">
        <f t="shared" si="139"/>
        <v>1</v>
      </c>
      <c r="BP18" s="609">
        <f t="shared" si="40"/>
        <v>6.5</v>
      </c>
      <c r="BQ18" s="718">
        <v>0.56999999999999995</v>
      </c>
      <c r="BR18" s="599">
        <f t="shared" si="41"/>
        <v>59.666666666666664</v>
      </c>
      <c r="BS18" s="584">
        <f t="shared" si="42"/>
        <v>27.225130690586422</v>
      </c>
      <c r="BT18" s="584">
        <f t="shared" si="43"/>
        <v>0.98340277777777763</v>
      </c>
      <c r="BU18" s="599">
        <f t="shared" si="44"/>
        <v>22.077999999999999</v>
      </c>
      <c r="BV18" s="599">
        <f t="shared" si="45"/>
        <v>97.415135135135131</v>
      </c>
      <c r="BW18" s="584">
        <f t="shared" si="140"/>
        <v>147.70166860349934</v>
      </c>
      <c r="BX18" s="584">
        <f t="shared" si="47"/>
        <v>151.0568014705882</v>
      </c>
      <c r="BY18" s="584">
        <f t="shared" si="141"/>
        <v>1</v>
      </c>
      <c r="BZ18" s="609">
        <f t="shared" si="49"/>
        <v>6.5</v>
      </c>
      <c r="CA18" s="718">
        <v>0.56999999999999995</v>
      </c>
      <c r="CB18" s="599">
        <f t="shared" si="50"/>
        <v>58.333333333333336</v>
      </c>
      <c r="CC18" s="584">
        <f t="shared" si="51"/>
        <v>26.17823948688272</v>
      </c>
      <c r="CD18" s="584">
        <f t="shared" si="52"/>
        <v>0.9184027777777779</v>
      </c>
      <c r="CE18" s="599">
        <f t="shared" si="53"/>
        <v>21.014000000000003</v>
      </c>
      <c r="CF18" s="599">
        <f t="shared" si="54"/>
        <v>97.415135135135131</v>
      </c>
      <c r="CG18" s="584">
        <f t="shared" si="142"/>
        <v>145.52577739979563</v>
      </c>
      <c r="CH18" s="584">
        <f t="shared" si="56"/>
        <v>151.0568014705882</v>
      </c>
      <c r="CI18" s="584">
        <f t="shared" si="143"/>
        <v>1</v>
      </c>
      <c r="CJ18" s="609">
        <f t="shared" si="58"/>
        <v>6.5</v>
      </c>
      <c r="CK18" s="718">
        <v>0.56999999999999995</v>
      </c>
      <c r="CL18" s="599">
        <f t="shared" si="59"/>
        <v>55</v>
      </c>
      <c r="CM18" s="584">
        <f t="shared" si="60"/>
        <v>23.638613715277774</v>
      </c>
      <c r="CN18" s="584">
        <f t="shared" si="61"/>
        <v>0.76562499999999978</v>
      </c>
      <c r="CO18" s="599">
        <f t="shared" si="62"/>
        <v>18.353999999999999</v>
      </c>
      <c r="CP18" s="599">
        <f t="shared" si="63"/>
        <v>97.415135135135131</v>
      </c>
      <c r="CQ18" s="584">
        <f t="shared" si="144"/>
        <v>140.1733738504129</v>
      </c>
      <c r="CR18" s="584">
        <f t="shared" si="65"/>
        <v>151.0568014705882</v>
      </c>
      <c r="CS18" s="584">
        <f t="shared" si="145"/>
        <v>1</v>
      </c>
      <c r="CT18" s="609">
        <f t="shared" si="67"/>
        <v>6.5</v>
      </c>
      <c r="CU18" s="718">
        <v>0.56999999999999995</v>
      </c>
      <c r="CV18" s="599">
        <f t="shared" si="68"/>
        <v>49</v>
      </c>
      <c r="CW18" s="584">
        <f t="shared" si="69"/>
        <v>19.346655381944441</v>
      </c>
      <c r="CX18" s="584">
        <f t="shared" si="70"/>
        <v>0.52562500000000001</v>
      </c>
      <c r="CY18" s="599">
        <f t="shared" si="71"/>
        <v>13.566000000000001</v>
      </c>
      <c r="CZ18" s="599">
        <f t="shared" si="72"/>
        <v>97.415135135135131</v>
      </c>
      <c r="DA18" s="584">
        <f t="shared" si="146"/>
        <v>130.85341551707958</v>
      </c>
      <c r="DB18" s="584">
        <f t="shared" si="74"/>
        <v>151.0568014705882</v>
      </c>
      <c r="DC18" s="584">
        <f t="shared" si="147"/>
        <v>1</v>
      </c>
      <c r="DD18" s="609">
        <f t="shared" si="76"/>
        <v>6.5</v>
      </c>
      <c r="DE18" s="718">
        <v>0.56999999999999995</v>
      </c>
      <c r="DF18" s="599">
        <f t="shared" si="77"/>
        <v>61</v>
      </c>
      <c r="DG18" s="584">
        <f t="shared" si="78"/>
        <v>28.289759548611109</v>
      </c>
      <c r="DH18" s="584">
        <f t="shared" si="79"/>
        <v>1.0506250000000001</v>
      </c>
      <c r="DI18" s="599">
        <f t="shared" si="80"/>
        <v>23.142000000000003</v>
      </c>
      <c r="DJ18" s="599">
        <f t="shared" si="81"/>
        <v>97.415135135135131</v>
      </c>
      <c r="DK18" s="584">
        <f t="shared" si="148"/>
        <v>149.89751968374622</v>
      </c>
      <c r="DL18" s="584">
        <f t="shared" si="83"/>
        <v>151.0568014705882</v>
      </c>
      <c r="DM18" s="584">
        <f t="shared" si="149"/>
        <v>1</v>
      </c>
      <c r="DN18" s="609">
        <f t="shared" si="85"/>
        <v>6.5</v>
      </c>
    </row>
    <row r="19" spans="1:118" x14ac:dyDescent="0.2">
      <c r="A19">
        <v>11</v>
      </c>
      <c r="C19" s="497">
        <v>4</v>
      </c>
      <c r="D19" s="600" t="s">
        <v>41</v>
      </c>
      <c r="E19" s="712">
        <v>0.52600000000000002</v>
      </c>
      <c r="F19" s="584">
        <f t="shared" si="86"/>
        <v>52.166666666666664</v>
      </c>
      <c r="G19" s="584">
        <f t="shared" si="102"/>
        <v>33.905262418016974</v>
      </c>
      <c r="H19" s="584">
        <f t="shared" si="103"/>
        <v>0.79506944444444416</v>
      </c>
      <c r="I19" s="584">
        <f t="shared" si="104"/>
        <v>18.885999999999999</v>
      </c>
      <c r="J19" s="584">
        <f t="shared" si="105"/>
        <v>159.50633186246142</v>
      </c>
      <c r="K19" s="584">
        <f t="shared" si="106"/>
        <v>159.61328676470589</v>
      </c>
      <c r="L19" s="584">
        <f t="shared" si="107"/>
        <v>1</v>
      </c>
      <c r="M19" s="609">
        <f t="shared" si="89"/>
        <v>7</v>
      </c>
      <c r="N19" s="715">
        <v>0.56800000000000006</v>
      </c>
      <c r="O19" s="584">
        <f t="shared" si="90"/>
        <v>59.166666666666664</v>
      </c>
      <c r="P19" s="584">
        <f t="shared" si="108"/>
        <v>40.855634524498456</v>
      </c>
      <c r="Q19" s="584">
        <f t="shared" si="109"/>
        <v>1.1377777777777778</v>
      </c>
      <c r="R19" s="584">
        <f t="shared" si="110"/>
        <v>24.471999999999998</v>
      </c>
      <c r="S19" s="584">
        <f t="shared" si="111"/>
        <v>172.38541230227622</v>
      </c>
      <c r="T19" s="584">
        <f t="shared" si="112"/>
        <v>172.55577205882355</v>
      </c>
      <c r="U19" s="584">
        <f t="shared" si="113"/>
        <v>1</v>
      </c>
      <c r="V19" s="609">
        <f t="shared" si="91"/>
        <v>6.5</v>
      </c>
      <c r="W19" s="718">
        <v>0.56000000000000005</v>
      </c>
      <c r="X19" s="584">
        <f t="shared" si="92"/>
        <v>57.833333333333336</v>
      </c>
      <c r="Y19" s="584">
        <f t="shared" si="114"/>
        <v>39.494061607831789</v>
      </c>
      <c r="Z19" s="584">
        <f t="shared" si="115"/>
        <v>1.0677777777777779</v>
      </c>
      <c r="AA19" s="584">
        <f t="shared" si="116"/>
        <v>23.408000000000005</v>
      </c>
      <c r="AB19" s="584">
        <f t="shared" si="117"/>
        <v>169.88983938560958</v>
      </c>
      <c r="AC19" s="584">
        <f t="shared" si="118"/>
        <v>170.10253676470589</v>
      </c>
      <c r="AD19" s="584">
        <f t="shared" si="119"/>
        <v>1</v>
      </c>
      <c r="AE19" s="609">
        <f t="shared" si="93"/>
        <v>6.5</v>
      </c>
      <c r="AF19" s="718">
        <v>0.54</v>
      </c>
      <c r="AG19" s="584">
        <f t="shared" si="94"/>
        <v>54.5</v>
      </c>
      <c r="AH19" s="584">
        <f t="shared" si="120"/>
        <v>36.167731553819436</v>
      </c>
      <c r="AI19" s="584">
        <f t="shared" si="121"/>
        <v>0.90250000000000008</v>
      </c>
      <c r="AJ19" s="584">
        <f t="shared" si="122"/>
        <v>20.748000000000001</v>
      </c>
      <c r="AK19" s="584">
        <f t="shared" si="123"/>
        <v>163.73823155381945</v>
      </c>
      <c r="AL19" s="584">
        <f t="shared" si="124"/>
        <v>163.94474264705883</v>
      </c>
      <c r="AM19" s="584">
        <f t="shared" si="125"/>
        <v>1</v>
      </c>
      <c r="AN19" s="609">
        <f t="shared" si="95"/>
        <v>6.75</v>
      </c>
      <c r="AO19" s="718">
        <v>0.505</v>
      </c>
      <c r="AP19" s="584">
        <f t="shared" si="96"/>
        <v>48.5</v>
      </c>
      <c r="AQ19" s="584">
        <f t="shared" si="126"/>
        <v>30.459705512152773</v>
      </c>
      <c r="AR19" s="584">
        <f t="shared" si="127"/>
        <v>0.64</v>
      </c>
      <c r="AS19" s="584">
        <f t="shared" si="128"/>
        <v>15.96</v>
      </c>
      <c r="AT19" s="584">
        <f t="shared" si="129"/>
        <v>152.97970551215278</v>
      </c>
      <c r="AU19" s="584">
        <f t="shared" si="130"/>
        <v>153.08367647058822</v>
      </c>
      <c r="AV19" s="584">
        <f t="shared" si="131"/>
        <v>1</v>
      </c>
      <c r="AW19" s="609">
        <f t="shared" si="97"/>
        <v>7.25</v>
      </c>
      <c r="AX19" s="718">
        <v>0.57600000000000007</v>
      </c>
      <c r="AY19" s="584">
        <f t="shared" si="98"/>
        <v>60.5</v>
      </c>
      <c r="AZ19" s="584">
        <f t="shared" si="132"/>
        <v>42.234945095486118</v>
      </c>
      <c r="BA19" s="584">
        <f t="shared" si="133"/>
        <v>1.2099999999999997</v>
      </c>
      <c r="BB19" s="584">
        <f t="shared" si="134"/>
        <v>25.536000000000001</v>
      </c>
      <c r="BC19" s="584">
        <f t="shared" si="135"/>
        <v>174.90094509548612</v>
      </c>
      <c r="BD19" s="584">
        <f t="shared" si="136"/>
        <v>175.00336029411767</v>
      </c>
      <c r="BE19" s="584">
        <f t="shared" si="137"/>
        <v>1</v>
      </c>
      <c r="BF19" s="609">
        <f t="shared" si="99"/>
        <v>6.25</v>
      </c>
      <c r="BG19" s="718">
        <v>0.56999999999999995</v>
      </c>
      <c r="BH19" s="599">
        <f t="shared" si="33"/>
        <v>55.666666666666664</v>
      </c>
      <c r="BI19" s="584">
        <f t="shared" si="34"/>
        <v>24.137670042438266</v>
      </c>
      <c r="BJ19" s="584">
        <f t="shared" si="35"/>
        <v>0.79506944444444416</v>
      </c>
      <c r="BK19" s="599">
        <f t="shared" si="36"/>
        <v>18.885999999999999</v>
      </c>
      <c r="BL19" s="599">
        <f t="shared" si="37"/>
        <v>97.415135135135131</v>
      </c>
      <c r="BM19" s="584">
        <f t="shared" si="138"/>
        <v>141.23387462201782</v>
      </c>
      <c r="BN19" s="584">
        <f t="shared" si="38"/>
        <v>151.0568014705882</v>
      </c>
      <c r="BO19" s="584">
        <f t="shared" si="139"/>
        <v>1</v>
      </c>
      <c r="BP19" s="609">
        <f t="shared" si="40"/>
        <v>6.5</v>
      </c>
      <c r="BQ19" s="718">
        <v>0.57599999999999996</v>
      </c>
      <c r="BR19" s="599">
        <f t="shared" si="41"/>
        <v>62.666666666666664</v>
      </c>
      <c r="BS19" s="584">
        <f t="shared" si="42"/>
        <v>29.645489197530857</v>
      </c>
      <c r="BT19" s="584">
        <f t="shared" si="43"/>
        <v>1.1377777777777778</v>
      </c>
      <c r="BU19" s="599">
        <f t="shared" si="44"/>
        <v>24.471999999999998</v>
      </c>
      <c r="BV19" s="599">
        <f t="shared" si="45"/>
        <v>97.415135135135131</v>
      </c>
      <c r="BW19" s="584">
        <f t="shared" si="140"/>
        <v>152.67040211044377</v>
      </c>
      <c r="BX19" s="584">
        <f t="shared" si="47"/>
        <v>152.93069852941173</v>
      </c>
      <c r="BY19" s="584">
        <f t="shared" si="141"/>
        <v>1</v>
      </c>
      <c r="BZ19" s="609">
        <f t="shared" si="49"/>
        <v>6.25</v>
      </c>
      <c r="CA19" s="718">
        <v>0.56999999999999995</v>
      </c>
      <c r="CB19" s="599">
        <f t="shared" si="50"/>
        <v>61.333333333333336</v>
      </c>
      <c r="CC19" s="584">
        <f t="shared" si="51"/>
        <v>28.558688271604943</v>
      </c>
      <c r="CD19" s="584">
        <f t="shared" si="52"/>
        <v>1.0677777777777779</v>
      </c>
      <c r="CE19" s="599">
        <f t="shared" si="53"/>
        <v>23.408000000000005</v>
      </c>
      <c r="CF19" s="599">
        <f t="shared" si="54"/>
        <v>97.415135135135131</v>
      </c>
      <c r="CG19" s="584">
        <f t="shared" si="142"/>
        <v>150.44960118451786</v>
      </c>
      <c r="CH19" s="584">
        <f t="shared" si="56"/>
        <v>151.0568014705882</v>
      </c>
      <c r="CI19" s="584">
        <f t="shared" si="143"/>
        <v>1</v>
      </c>
      <c r="CJ19" s="609">
        <f t="shared" si="58"/>
        <v>6.5</v>
      </c>
      <c r="CK19" s="718">
        <v>0.56999999999999995</v>
      </c>
      <c r="CL19" s="599">
        <f t="shared" si="59"/>
        <v>58</v>
      </c>
      <c r="CM19" s="584">
        <f t="shared" si="60"/>
        <v>25.919288194444441</v>
      </c>
      <c r="CN19" s="584">
        <f t="shared" si="61"/>
        <v>0.90250000000000008</v>
      </c>
      <c r="CO19" s="599">
        <f t="shared" si="62"/>
        <v>20.748000000000001</v>
      </c>
      <c r="CP19" s="599">
        <f t="shared" si="63"/>
        <v>97.415135135135131</v>
      </c>
      <c r="CQ19" s="584">
        <f t="shared" si="144"/>
        <v>144.98492332957957</v>
      </c>
      <c r="CR19" s="584">
        <f t="shared" si="65"/>
        <v>151.0568014705882</v>
      </c>
      <c r="CS19" s="584">
        <f t="shared" si="145"/>
        <v>1</v>
      </c>
      <c r="CT19" s="609">
        <f t="shared" si="67"/>
        <v>6.5</v>
      </c>
      <c r="CU19" s="718">
        <v>0.56999999999999995</v>
      </c>
      <c r="CV19" s="599">
        <f t="shared" si="68"/>
        <v>52</v>
      </c>
      <c r="CW19" s="584">
        <f t="shared" si="69"/>
        <v>21.447736111111109</v>
      </c>
      <c r="CX19" s="584">
        <f t="shared" si="70"/>
        <v>0.64</v>
      </c>
      <c r="CY19" s="599">
        <f t="shared" si="71"/>
        <v>15.96</v>
      </c>
      <c r="CZ19" s="599">
        <f t="shared" si="72"/>
        <v>97.415135135135131</v>
      </c>
      <c r="DA19" s="584">
        <f t="shared" si="146"/>
        <v>135.46287124624624</v>
      </c>
      <c r="DB19" s="584">
        <f t="shared" si="74"/>
        <v>151.0568014705882</v>
      </c>
      <c r="DC19" s="584">
        <f t="shared" si="147"/>
        <v>1</v>
      </c>
      <c r="DD19" s="609">
        <f t="shared" si="76"/>
        <v>6.5</v>
      </c>
      <c r="DE19" s="718">
        <v>0.58299999999999996</v>
      </c>
      <c r="DF19" s="599">
        <f t="shared" si="77"/>
        <v>64</v>
      </c>
      <c r="DG19" s="584">
        <f t="shared" si="78"/>
        <v>30.750027777777774</v>
      </c>
      <c r="DH19" s="584">
        <f t="shared" si="79"/>
        <v>1.2099999999999997</v>
      </c>
      <c r="DI19" s="599">
        <f t="shared" si="80"/>
        <v>25.536000000000001</v>
      </c>
      <c r="DJ19" s="599">
        <f t="shared" si="81"/>
        <v>97.415135135135131</v>
      </c>
      <c r="DK19" s="584">
        <f t="shared" si="148"/>
        <v>154.91116291291291</v>
      </c>
      <c r="DL19" s="584">
        <f t="shared" si="83"/>
        <v>155.11289705882353</v>
      </c>
      <c r="DM19" s="584">
        <f t="shared" si="149"/>
        <v>1</v>
      </c>
      <c r="DN19" s="609">
        <f t="shared" si="85"/>
        <v>6.25</v>
      </c>
    </row>
    <row r="20" spans="1:118" x14ac:dyDescent="0.2">
      <c r="A20">
        <v>12</v>
      </c>
      <c r="C20" s="497">
        <v>4.25</v>
      </c>
      <c r="D20" s="600" t="s">
        <v>41</v>
      </c>
      <c r="E20" s="712">
        <v>0.54400000000000004</v>
      </c>
      <c r="F20" s="584">
        <f t="shared" si="86"/>
        <v>55.166666666666664</v>
      </c>
      <c r="G20" s="584">
        <f t="shared" si="102"/>
        <v>36.824128737461422</v>
      </c>
      <c r="H20" s="584">
        <f t="shared" si="103"/>
        <v>0.93444444444444419</v>
      </c>
      <c r="I20" s="584">
        <f t="shared" si="104"/>
        <v>21.279999999999998</v>
      </c>
      <c r="J20" s="584">
        <f t="shared" si="105"/>
        <v>164.95857318190588</v>
      </c>
      <c r="K20" s="584">
        <f t="shared" si="106"/>
        <v>165.179125</v>
      </c>
      <c r="L20" s="584">
        <f t="shared" si="107"/>
        <v>1</v>
      </c>
      <c r="M20" s="609">
        <f t="shared" si="89"/>
        <v>6.75</v>
      </c>
      <c r="N20" s="715">
        <v>0.58700000000000008</v>
      </c>
      <c r="O20" s="584">
        <f t="shared" si="90"/>
        <v>62.166666666666664</v>
      </c>
      <c r="P20" s="584">
        <f t="shared" si="108"/>
        <v>43.984026885609566</v>
      </c>
      <c r="Q20" s="584">
        <f t="shared" si="109"/>
        <v>1.3034027777777777</v>
      </c>
      <c r="R20" s="584">
        <f t="shared" si="110"/>
        <v>26.866</v>
      </c>
      <c r="S20" s="584">
        <f t="shared" si="111"/>
        <v>178.07342966338734</v>
      </c>
      <c r="T20" s="584">
        <f t="shared" si="112"/>
        <v>178.35957352941176</v>
      </c>
      <c r="U20" s="584">
        <f t="shared" si="113"/>
        <v>1</v>
      </c>
      <c r="V20" s="609">
        <f t="shared" si="91"/>
        <v>6.25</v>
      </c>
      <c r="W20" s="718">
        <v>0.57800000000000007</v>
      </c>
      <c r="X20" s="584">
        <f t="shared" si="92"/>
        <v>60.833333333333336</v>
      </c>
      <c r="Y20" s="584">
        <f t="shared" si="114"/>
        <v>42.582544246720673</v>
      </c>
      <c r="Z20" s="584">
        <f t="shared" si="115"/>
        <v>1.228402777777778</v>
      </c>
      <c r="AA20" s="584">
        <f t="shared" si="116"/>
        <v>25.802000000000003</v>
      </c>
      <c r="AB20" s="584">
        <f t="shared" si="117"/>
        <v>175.53294702449847</v>
      </c>
      <c r="AC20" s="584">
        <f t="shared" si="118"/>
        <v>175.614375</v>
      </c>
      <c r="AD20" s="584">
        <f t="shared" si="119"/>
        <v>1</v>
      </c>
      <c r="AE20" s="609">
        <f t="shared" si="93"/>
        <v>6.25</v>
      </c>
      <c r="AF20" s="718">
        <v>0.55800000000000005</v>
      </c>
      <c r="AG20" s="584">
        <f t="shared" si="94"/>
        <v>57.5</v>
      </c>
      <c r="AH20" s="584">
        <f t="shared" si="120"/>
        <v>39.156439887152779</v>
      </c>
      <c r="AI20" s="584">
        <f t="shared" si="121"/>
        <v>1.0506250000000001</v>
      </c>
      <c r="AJ20" s="584">
        <f t="shared" si="122"/>
        <v>23.142000000000003</v>
      </c>
      <c r="AK20" s="584">
        <f t="shared" si="123"/>
        <v>169.26906488715278</v>
      </c>
      <c r="AL20" s="584">
        <f t="shared" si="124"/>
        <v>169.48834558823532</v>
      </c>
      <c r="AM20" s="584">
        <f t="shared" si="125"/>
        <v>1</v>
      </c>
      <c r="AN20" s="609">
        <f t="shared" si="95"/>
        <v>6.5</v>
      </c>
      <c r="AO20" s="718">
        <v>0.52200000000000002</v>
      </c>
      <c r="AP20" s="584">
        <f t="shared" si="96"/>
        <v>51.5</v>
      </c>
      <c r="AQ20" s="584">
        <f t="shared" si="126"/>
        <v>33.268820095486113</v>
      </c>
      <c r="AR20" s="584">
        <f t="shared" si="127"/>
        <v>0.76562499999999978</v>
      </c>
      <c r="AS20" s="584">
        <f t="shared" si="128"/>
        <v>18.353999999999999</v>
      </c>
      <c r="AT20" s="584">
        <f t="shared" si="129"/>
        <v>158.30844509548612</v>
      </c>
      <c r="AU20" s="584">
        <f t="shared" si="130"/>
        <v>158.37255147058826</v>
      </c>
      <c r="AV20" s="584">
        <f t="shared" si="131"/>
        <v>1</v>
      </c>
      <c r="AW20" s="609">
        <f t="shared" si="97"/>
        <v>7</v>
      </c>
      <c r="AX20" s="718">
        <v>0.59500000000000008</v>
      </c>
      <c r="AY20" s="584">
        <f t="shared" si="98"/>
        <v>63.5</v>
      </c>
      <c r="AZ20" s="584">
        <f t="shared" si="132"/>
        <v>45.403247178819441</v>
      </c>
      <c r="BA20" s="584">
        <f t="shared" si="133"/>
        <v>1.380625</v>
      </c>
      <c r="BB20" s="584">
        <f t="shared" si="134"/>
        <v>27.93</v>
      </c>
      <c r="BC20" s="584">
        <f t="shared" si="135"/>
        <v>180.63387217881944</v>
      </c>
      <c r="BD20" s="584">
        <f t="shared" si="136"/>
        <v>180.79375000000005</v>
      </c>
      <c r="BE20" s="584">
        <f t="shared" si="137"/>
        <v>1</v>
      </c>
      <c r="BF20" s="609">
        <f t="shared" si="99"/>
        <v>6.25</v>
      </c>
      <c r="BG20" s="718">
        <v>0.56999999999999995</v>
      </c>
      <c r="BH20" s="599">
        <f t="shared" si="33"/>
        <v>58.666666666666664</v>
      </c>
      <c r="BI20" s="584">
        <f t="shared" si="34"/>
        <v>26.438299382716046</v>
      </c>
      <c r="BJ20" s="584">
        <f t="shared" si="35"/>
        <v>0.93444444444444419</v>
      </c>
      <c r="BK20" s="599">
        <f t="shared" si="36"/>
        <v>21.279999999999998</v>
      </c>
      <c r="BL20" s="599">
        <f t="shared" si="37"/>
        <v>97.415135135135131</v>
      </c>
      <c r="BM20" s="584">
        <f t="shared" si="138"/>
        <v>146.06787896229562</v>
      </c>
      <c r="BN20" s="584">
        <f t="shared" si="38"/>
        <v>151.0568014705882</v>
      </c>
      <c r="BO20" s="584">
        <f t="shared" si="139"/>
        <v>1</v>
      </c>
      <c r="BP20" s="609">
        <f t="shared" si="40"/>
        <v>6.5</v>
      </c>
      <c r="BQ20" s="718">
        <v>0.59199999999999997</v>
      </c>
      <c r="BR20" s="599">
        <f t="shared" si="41"/>
        <v>65.666666666666671</v>
      </c>
      <c r="BS20" s="584">
        <f t="shared" si="42"/>
        <v>32.155644579475307</v>
      </c>
      <c r="BT20" s="584">
        <f t="shared" si="43"/>
        <v>1.3034027777777779</v>
      </c>
      <c r="BU20" s="599">
        <f t="shared" si="44"/>
        <v>26.866000000000007</v>
      </c>
      <c r="BV20" s="599">
        <f t="shared" si="45"/>
        <v>97.415135135135131</v>
      </c>
      <c r="BW20" s="584">
        <f t="shared" si="140"/>
        <v>157.74018249238821</v>
      </c>
      <c r="BX20" s="584">
        <f t="shared" si="47"/>
        <v>157.91222794117647</v>
      </c>
      <c r="BY20" s="584">
        <f t="shared" si="141"/>
        <v>1</v>
      </c>
      <c r="BZ20" s="609">
        <f t="shared" si="49"/>
        <v>6.25</v>
      </c>
      <c r="CA20" s="718">
        <v>0.58499999999999996</v>
      </c>
      <c r="CB20" s="599">
        <f t="shared" si="50"/>
        <v>64.333333333333329</v>
      </c>
      <c r="CC20" s="584">
        <f t="shared" si="51"/>
        <v>31.028933931327156</v>
      </c>
      <c r="CD20" s="584">
        <f t="shared" si="52"/>
        <v>1.2284027777777775</v>
      </c>
      <c r="CE20" s="599">
        <f t="shared" si="53"/>
        <v>25.801999999999996</v>
      </c>
      <c r="CF20" s="599">
        <f t="shared" si="54"/>
        <v>97.415135135135131</v>
      </c>
      <c r="CG20" s="584">
        <f t="shared" si="142"/>
        <v>155.47447184424004</v>
      </c>
      <c r="CH20" s="584">
        <f t="shared" si="56"/>
        <v>155.7355882352941</v>
      </c>
      <c r="CI20" s="584">
        <f t="shared" si="143"/>
        <v>1</v>
      </c>
      <c r="CJ20" s="609">
        <f t="shared" si="58"/>
        <v>6.25</v>
      </c>
      <c r="CK20" s="718">
        <v>0.56999999999999995</v>
      </c>
      <c r="CL20" s="599">
        <f t="shared" si="59"/>
        <v>61</v>
      </c>
      <c r="CM20" s="584">
        <f t="shared" si="60"/>
        <v>28.289759548611109</v>
      </c>
      <c r="CN20" s="584">
        <f t="shared" si="61"/>
        <v>1.0506250000000001</v>
      </c>
      <c r="CO20" s="599">
        <f t="shared" si="62"/>
        <v>23.142000000000003</v>
      </c>
      <c r="CP20" s="599">
        <f t="shared" si="63"/>
        <v>97.415135135135131</v>
      </c>
      <c r="CQ20" s="584">
        <f t="shared" si="144"/>
        <v>149.89751968374622</v>
      </c>
      <c r="CR20" s="584">
        <f t="shared" si="65"/>
        <v>151.0568014705882</v>
      </c>
      <c r="CS20" s="584">
        <f t="shared" si="145"/>
        <v>1</v>
      </c>
      <c r="CT20" s="609">
        <f t="shared" si="67"/>
        <v>6.5</v>
      </c>
      <c r="CU20" s="718">
        <v>0.56999999999999995</v>
      </c>
      <c r="CV20" s="599">
        <f t="shared" si="68"/>
        <v>55</v>
      </c>
      <c r="CW20" s="584">
        <f t="shared" si="69"/>
        <v>23.638613715277774</v>
      </c>
      <c r="CX20" s="584">
        <f t="shared" si="70"/>
        <v>0.76562499999999978</v>
      </c>
      <c r="CY20" s="599">
        <f t="shared" si="71"/>
        <v>18.353999999999999</v>
      </c>
      <c r="CZ20" s="599">
        <f t="shared" si="72"/>
        <v>97.415135135135131</v>
      </c>
      <c r="DA20" s="584">
        <f t="shared" si="146"/>
        <v>140.1733738504129</v>
      </c>
      <c r="DB20" s="584">
        <f t="shared" si="74"/>
        <v>151.0568014705882</v>
      </c>
      <c r="DC20" s="584">
        <f t="shared" si="147"/>
        <v>1</v>
      </c>
      <c r="DD20" s="609">
        <f t="shared" si="76"/>
        <v>6.5</v>
      </c>
      <c r="DE20" s="718">
        <v>0.59899999999999998</v>
      </c>
      <c r="DF20" s="599">
        <f t="shared" si="77"/>
        <v>67</v>
      </c>
      <c r="DG20" s="584">
        <f t="shared" si="78"/>
        <v>33.300092881944437</v>
      </c>
      <c r="DH20" s="584">
        <f t="shared" si="79"/>
        <v>1.380625</v>
      </c>
      <c r="DI20" s="599">
        <f t="shared" si="80"/>
        <v>27.93</v>
      </c>
      <c r="DJ20" s="599">
        <f t="shared" si="81"/>
        <v>97.415135135135131</v>
      </c>
      <c r="DK20" s="584">
        <f t="shared" si="148"/>
        <v>160.02585301707956</v>
      </c>
      <c r="DL20" s="584">
        <f t="shared" si="83"/>
        <v>160.08454411764706</v>
      </c>
      <c r="DM20" s="584">
        <f t="shared" si="149"/>
        <v>1</v>
      </c>
      <c r="DN20" s="609">
        <f t="shared" si="85"/>
        <v>6</v>
      </c>
    </row>
    <row r="21" spans="1:118" x14ac:dyDescent="0.2">
      <c r="A21">
        <v>13</v>
      </c>
      <c r="C21" s="497">
        <v>4.5</v>
      </c>
      <c r="D21" s="600" t="s">
        <v>41</v>
      </c>
      <c r="E21" s="712">
        <v>0.56200000000000006</v>
      </c>
      <c r="F21" s="584">
        <f t="shared" si="86"/>
        <v>58.166666666666664</v>
      </c>
      <c r="G21" s="584">
        <f t="shared" si="102"/>
        <v>39.832791931905867</v>
      </c>
      <c r="H21" s="584">
        <f t="shared" si="103"/>
        <v>1.0850694444444442</v>
      </c>
      <c r="I21" s="584">
        <f t="shared" si="104"/>
        <v>23.673999999999999</v>
      </c>
      <c r="J21" s="584">
        <f t="shared" si="105"/>
        <v>170.51186137635031</v>
      </c>
      <c r="K21" s="584">
        <f t="shared" si="106"/>
        <v>170.71637500000003</v>
      </c>
      <c r="L21" s="584">
        <f t="shared" si="107"/>
        <v>1</v>
      </c>
      <c r="M21" s="609">
        <f t="shared" si="89"/>
        <v>6.5</v>
      </c>
      <c r="N21" s="715">
        <v>0.60600000000000009</v>
      </c>
      <c r="O21" s="584">
        <f t="shared" si="90"/>
        <v>65.166666666666671</v>
      </c>
      <c r="P21" s="584">
        <f t="shared" si="108"/>
        <v>47.202216121720689</v>
      </c>
      <c r="Q21" s="584">
        <f t="shared" si="109"/>
        <v>1.4802777777777782</v>
      </c>
      <c r="R21" s="584">
        <f t="shared" si="110"/>
        <v>29.260000000000005</v>
      </c>
      <c r="S21" s="584">
        <f t="shared" si="111"/>
        <v>183.86249389949847</v>
      </c>
      <c r="T21" s="584">
        <f t="shared" si="112"/>
        <v>184.13152205882361</v>
      </c>
      <c r="U21" s="584">
        <f t="shared" si="113"/>
        <v>1</v>
      </c>
      <c r="V21" s="609">
        <f t="shared" si="91"/>
        <v>6</v>
      </c>
      <c r="W21" s="718">
        <v>0.59700000000000009</v>
      </c>
      <c r="X21" s="584">
        <f t="shared" si="92"/>
        <v>63.833333333333336</v>
      </c>
      <c r="Y21" s="584">
        <f t="shared" si="114"/>
        <v>45.760823760609583</v>
      </c>
      <c r="Z21" s="584">
        <f t="shared" si="115"/>
        <v>1.400277777777778</v>
      </c>
      <c r="AA21" s="584">
        <f t="shared" si="116"/>
        <v>28.196000000000005</v>
      </c>
      <c r="AB21" s="584">
        <f t="shared" si="117"/>
        <v>181.27710153838737</v>
      </c>
      <c r="AC21" s="584">
        <f t="shared" si="118"/>
        <v>181.40141176470593</v>
      </c>
      <c r="AD21" s="584">
        <f t="shared" si="119"/>
        <v>1</v>
      </c>
      <c r="AE21" s="609">
        <f t="shared" si="93"/>
        <v>6</v>
      </c>
      <c r="AF21" s="718">
        <v>0.57600000000000007</v>
      </c>
      <c r="AG21" s="584">
        <f t="shared" si="94"/>
        <v>60.5</v>
      </c>
      <c r="AH21" s="584">
        <f t="shared" si="120"/>
        <v>42.234945095486118</v>
      </c>
      <c r="AI21" s="584">
        <f t="shared" si="121"/>
        <v>1.2099999999999997</v>
      </c>
      <c r="AJ21" s="584">
        <f t="shared" si="122"/>
        <v>25.536000000000001</v>
      </c>
      <c r="AK21" s="584">
        <f t="shared" si="123"/>
        <v>174.90094509548612</v>
      </c>
      <c r="AL21" s="584">
        <f t="shared" si="124"/>
        <v>175.00336029411767</v>
      </c>
      <c r="AM21" s="584">
        <f t="shared" si="125"/>
        <v>1</v>
      </c>
      <c r="AN21" s="609">
        <f t="shared" si="95"/>
        <v>6.25</v>
      </c>
      <c r="AO21" s="718">
        <v>0.54</v>
      </c>
      <c r="AP21" s="584">
        <f t="shared" si="96"/>
        <v>54.5</v>
      </c>
      <c r="AQ21" s="584">
        <f t="shared" si="126"/>
        <v>36.167731553819436</v>
      </c>
      <c r="AR21" s="584">
        <f t="shared" si="127"/>
        <v>0.90250000000000008</v>
      </c>
      <c r="AS21" s="584">
        <f t="shared" si="128"/>
        <v>20.748000000000001</v>
      </c>
      <c r="AT21" s="584">
        <f t="shared" si="129"/>
        <v>163.73823155381945</v>
      </c>
      <c r="AU21" s="584">
        <f t="shared" si="130"/>
        <v>163.94474264705883</v>
      </c>
      <c r="AV21" s="584">
        <f t="shared" si="131"/>
        <v>1</v>
      </c>
      <c r="AW21" s="609">
        <f t="shared" si="97"/>
        <v>6.75</v>
      </c>
      <c r="AX21" s="718">
        <v>0.6140000000000001</v>
      </c>
      <c r="AY21" s="584">
        <f t="shared" si="98"/>
        <v>66.5</v>
      </c>
      <c r="AZ21" s="584">
        <f t="shared" si="132"/>
        <v>48.661346137152783</v>
      </c>
      <c r="BA21" s="584">
        <f t="shared" si="133"/>
        <v>1.5625000000000004</v>
      </c>
      <c r="BB21" s="584">
        <f t="shared" si="134"/>
        <v>30.324000000000002</v>
      </c>
      <c r="BC21" s="584">
        <f t="shared" si="135"/>
        <v>186.46784613715278</v>
      </c>
      <c r="BD21" s="584">
        <f t="shared" si="136"/>
        <v>186.55228676470591</v>
      </c>
      <c r="BE21" s="584">
        <f t="shared" si="137"/>
        <v>1</v>
      </c>
      <c r="BF21" s="609">
        <f t="shared" si="99"/>
        <v>6</v>
      </c>
      <c r="BG21" s="718">
        <v>0.56999999999999995</v>
      </c>
      <c r="BH21" s="599">
        <f t="shared" si="33"/>
        <v>61.666666666666664</v>
      </c>
      <c r="BI21" s="584">
        <f t="shared" si="34"/>
        <v>28.828725597993824</v>
      </c>
      <c r="BJ21" s="584">
        <f t="shared" si="35"/>
        <v>1.0850694444444442</v>
      </c>
      <c r="BK21" s="599">
        <f t="shared" si="36"/>
        <v>23.673999999999999</v>
      </c>
      <c r="BL21" s="599">
        <f t="shared" si="37"/>
        <v>97.415135135135131</v>
      </c>
      <c r="BM21" s="584">
        <f t="shared" si="138"/>
        <v>151.0029301775734</v>
      </c>
      <c r="BN21" s="584">
        <f t="shared" si="38"/>
        <v>151.0568014705882</v>
      </c>
      <c r="BO21" s="584">
        <f t="shared" si="139"/>
        <v>1</v>
      </c>
      <c r="BP21" s="609">
        <f t="shared" si="40"/>
        <v>6.5</v>
      </c>
      <c r="BQ21" s="718">
        <v>0.60899999999999999</v>
      </c>
      <c r="BR21" s="599">
        <f t="shared" si="41"/>
        <v>68.666666666666671</v>
      </c>
      <c r="BS21" s="584">
        <f t="shared" si="42"/>
        <v>34.755596836419755</v>
      </c>
      <c r="BT21" s="584">
        <f t="shared" si="43"/>
        <v>1.4802777777777782</v>
      </c>
      <c r="BU21" s="599">
        <f t="shared" si="44"/>
        <v>29.260000000000005</v>
      </c>
      <c r="BV21" s="599">
        <f t="shared" si="45"/>
        <v>97.415135135135131</v>
      </c>
      <c r="BW21" s="584">
        <f t="shared" si="140"/>
        <v>162.91100974933266</v>
      </c>
      <c r="BX21" s="584">
        <f t="shared" si="47"/>
        <v>163.18035294117647</v>
      </c>
      <c r="BY21" s="584">
        <f t="shared" si="141"/>
        <v>1</v>
      </c>
      <c r="BZ21" s="609">
        <f t="shared" si="49"/>
        <v>6</v>
      </c>
      <c r="CA21" s="718">
        <v>0.60099999999999998</v>
      </c>
      <c r="CB21" s="599">
        <f t="shared" si="50"/>
        <v>67.333333333333329</v>
      </c>
      <c r="CC21" s="584">
        <f t="shared" si="51"/>
        <v>33.588976466049374</v>
      </c>
      <c r="CD21" s="584">
        <f t="shared" si="52"/>
        <v>1.4002777777777777</v>
      </c>
      <c r="CE21" s="599">
        <f t="shared" si="53"/>
        <v>28.195999999999998</v>
      </c>
      <c r="CF21" s="599">
        <f t="shared" si="54"/>
        <v>97.415135135135131</v>
      </c>
      <c r="CG21" s="584">
        <f t="shared" si="142"/>
        <v>160.60038937896229</v>
      </c>
      <c r="CH21" s="584">
        <f t="shared" si="56"/>
        <v>160.70441176470592</v>
      </c>
      <c r="CI21" s="584">
        <f t="shared" si="143"/>
        <v>1</v>
      </c>
      <c r="CJ21" s="609">
        <f t="shared" si="58"/>
        <v>6</v>
      </c>
      <c r="CK21" s="718">
        <v>0.58299999999999996</v>
      </c>
      <c r="CL21" s="599">
        <f t="shared" si="59"/>
        <v>64</v>
      </c>
      <c r="CM21" s="584">
        <f t="shared" si="60"/>
        <v>30.750027777777774</v>
      </c>
      <c r="CN21" s="584">
        <f t="shared" si="61"/>
        <v>1.2099999999999997</v>
      </c>
      <c r="CO21" s="599">
        <f t="shared" si="62"/>
        <v>25.536000000000001</v>
      </c>
      <c r="CP21" s="599">
        <f t="shared" si="63"/>
        <v>97.415135135135131</v>
      </c>
      <c r="CQ21" s="584">
        <f t="shared" si="144"/>
        <v>154.91116291291291</v>
      </c>
      <c r="CR21" s="584">
        <f t="shared" si="65"/>
        <v>155.11289705882353</v>
      </c>
      <c r="CS21" s="584">
        <f t="shared" si="145"/>
        <v>1</v>
      </c>
      <c r="CT21" s="609">
        <f t="shared" si="67"/>
        <v>6.25</v>
      </c>
      <c r="CU21" s="718">
        <v>0.56999999999999995</v>
      </c>
      <c r="CV21" s="599">
        <f t="shared" si="68"/>
        <v>58</v>
      </c>
      <c r="CW21" s="584">
        <f t="shared" si="69"/>
        <v>25.919288194444441</v>
      </c>
      <c r="CX21" s="584">
        <f t="shared" si="70"/>
        <v>0.90250000000000008</v>
      </c>
      <c r="CY21" s="599">
        <f t="shared" si="71"/>
        <v>20.748000000000001</v>
      </c>
      <c r="CZ21" s="599">
        <f t="shared" si="72"/>
        <v>97.415135135135131</v>
      </c>
      <c r="DA21" s="584">
        <f t="shared" si="146"/>
        <v>144.98492332957957</v>
      </c>
      <c r="DB21" s="584">
        <f t="shared" si="74"/>
        <v>151.0568014705882</v>
      </c>
      <c r="DC21" s="584">
        <f t="shared" si="147"/>
        <v>1</v>
      </c>
      <c r="DD21" s="609">
        <f t="shared" si="76"/>
        <v>6.5</v>
      </c>
      <c r="DE21" s="718">
        <v>0.61599999999999999</v>
      </c>
      <c r="DF21" s="599">
        <f t="shared" si="77"/>
        <v>70</v>
      </c>
      <c r="DG21" s="584">
        <f t="shared" si="78"/>
        <v>35.939954861111104</v>
      </c>
      <c r="DH21" s="584">
        <f t="shared" si="79"/>
        <v>1.5625000000000004</v>
      </c>
      <c r="DI21" s="599">
        <f t="shared" si="80"/>
        <v>30.324000000000002</v>
      </c>
      <c r="DJ21" s="599">
        <f t="shared" si="81"/>
        <v>97.415135135135131</v>
      </c>
      <c r="DK21" s="584">
        <f t="shared" si="148"/>
        <v>165.24158999624623</v>
      </c>
      <c r="DL21" s="584">
        <f t="shared" si="83"/>
        <v>165.34216911764707</v>
      </c>
      <c r="DM21" s="584">
        <f t="shared" si="149"/>
        <v>1</v>
      </c>
      <c r="DN21" s="609">
        <f t="shared" si="85"/>
        <v>6</v>
      </c>
    </row>
    <row r="22" spans="1:118" x14ac:dyDescent="0.2">
      <c r="A22">
        <v>14</v>
      </c>
      <c r="C22" s="497">
        <v>4.75</v>
      </c>
      <c r="D22" s="600" t="s">
        <v>41</v>
      </c>
      <c r="E22" s="712">
        <v>0.58000000000000007</v>
      </c>
      <c r="F22" s="584">
        <f t="shared" si="86"/>
        <v>61.166666666666664</v>
      </c>
      <c r="G22" s="584">
        <f t="shared" si="102"/>
        <v>42.931252001350302</v>
      </c>
      <c r="H22" s="584">
        <f t="shared" si="103"/>
        <v>1.2469444444444444</v>
      </c>
      <c r="I22" s="584">
        <f t="shared" si="104"/>
        <v>26.067999999999998</v>
      </c>
      <c r="J22" s="584">
        <f t="shared" si="105"/>
        <v>176.16619644579475</v>
      </c>
      <c r="K22" s="584">
        <f t="shared" si="106"/>
        <v>176.22503676470592</v>
      </c>
      <c r="L22" s="584">
        <f t="shared" si="107"/>
        <v>1</v>
      </c>
      <c r="M22" s="609">
        <f t="shared" si="89"/>
        <v>6.25</v>
      </c>
      <c r="N22" s="715">
        <v>0.62500000000000011</v>
      </c>
      <c r="O22" s="584">
        <f t="shared" si="90"/>
        <v>68.166666666666671</v>
      </c>
      <c r="P22" s="584">
        <f t="shared" si="108"/>
        <v>50.510202232831801</v>
      </c>
      <c r="Q22" s="584">
        <f t="shared" si="109"/>
        <v>1.6684027777777781</v>
      </c>
      <c r="R22" s="584">
        <f t="shared" si="110"/>
        <v>31.654000000000007</v>
      </c>
      <c r="S22" s="584">
        <f t="shared" si="111"/>
        <v>189.75260501060959</v>
      </c>
      <c r="T22" s="584">
        <f t="shared" si="112"/>
        <v>189.87161764705883</v>
      </c>
      <c r="U22" s="584">
        <f t="shared" si="113"/>
        <v>1</v>
      </c>
      <c r="V22" s="609">
        <f t="shared" si="91"/>
        <v>5.75</v>
      </c>
      <c r="W22" s="718">
        <v>0.6160000000000001</v>
      </c>
      <c r="X22" s="584">
        <f t="shared" si="92"/>
        <v>66.833333333333329</v>
      </c>
      <c r="Y22" s="584">
        <f t="shared" si="114"/>
        <v>49.028900149498455</v>
      </c>
      <c r="Z22" s="584">
        <f t="shared" si="115"/>
        <v>1.5834027777777773</v>
      </c>
      <c r="AA22" s="584">
        <f t="shared" si="116"/>
        <v>30.589999999999996</v>
      </c>
      <c r="AB22" s="584">
        <f t="shared" si="117"/>
        <v>187.12230292727622</v>
      </c>
      <c r="AC22" s="584">
        <f t="shared" si="118"/>
        <v>187.15659558823535</v>
      </c>
      <c r="AD22" s="584">
        <f t="shared" si="119"/>
        <v>1</v>
      </c>
      <c r="AE22" s="609">
        <f t="shared" si="93"/>
        <v>6</v>
      </c>
      <c r="AF22" s="718">
        <v>0.59500000000000008</v>
      </c>
      <c r="AG22" s="584">
        <f t="shared" si="94"/>
        <v>63.5</v>
      </c>
      <c r="AH22" s="584">
        <f t="shared" si="120"/>
        <v>45.403247178819441</v>
      </c>
      <c r="AI22" s="584">
        <f t="shared" si="121"/>
        <v>1.380625</v>
      </c>
      <c r="AJ22" s="584">
        <f t="shared" si="122"/>
        <v>27.93</v>
      </c>
      <c r="AK22" s="584">
        <f t="shared" si="123"/>
        <v>180.63387217881944</v>
      </c>
      <c r="AL22" s="584">
        <f t="shared" si="124"/>
        <v>180.79375000000005</v>
      </c>
      <c r="AM22" s="584">
        <f t="shared" si="125"/>
        <v>1</v>
      </c>
      <c r="AN22" s="609">
        <f t="shared" si="95"/>
        <v>6.25</v>
      </c>
      <c r="AO22" s="718">
        <v>0.55800000000000005</v>
      </c>
      <c r="AP22" s="584">
        <f t="shared" si="96"/>
        <v>57.5</v>
      </c>
      <c r="AQ22" s="584">
        <f t="shared" si="126"/>
        <v>39.156439887152779</v>
      </c>
      <c r="AR22" s="584">
        <f t="shared" si="127"/>
        <v>1.0506250000000001</v>
      </c>
      <c r="AS22" s="584">
        <f t="shared" si="128"/>
        <v>23.142000000000003</v>
      </c>
      <c r="AT22" s="584">
        <f t="shared" si="129"/>
        <v>169.26906488715278</v>
      </c>
      <c r="AU22" s="584">
        <f t="shared" si="130"/>
        <v>169.48834558823532</v>
      </c>
      <c r="AV22" s="584">
        <f t="shared" si="131"/>
        <v>1</v>
      </c>
      <c r="AW22" s="609">
        <f t="shared" si="97"/>
        <v>6.5</v>
      </c>
      <c r="AX22" s="718">
        <v>0.63400000000000012</v>
      </c>
      <c r="AY22" s="584">
        <f t="shared" si="98"/>
        <v>69.5</v>
      </c>
      <c r="AZ22" s="584">
        <f t="shared" si="132"/>
        <v>52.009241970486109</v>
      </c>
      <c r="BA22" s="584">
        <f t="shared" si="133"/>
        <v>1.755625</v>
      </c>
      <c r="BB22" s="584">
        <f t="shared" si="134"/>
        <v>32.718000000000004</v>
      </c>
      <c r="BC22" s="584">
        <f t="shared" si="135"/>
        <v>192.40286697048612</v>
      </c>
      <c r="BD22" s="584">
        <f t="shared" si="136"/>
        <v>192.57949264705883</v>
      </c>
      <c r="BE22" s="584">
        <f t="shared" si="137"/>
        <v>1</v>
      </c>
      <c r="BF22" s="609">
        <f t="shared" si="99"/>
        <v>5.75</v>
      </c>
      <c r="BG22" s="718">
        <v>0.58599999999999997</v>
      </c>
      <c r="BH22" s="599">
        <f t="shared" si="33"/>
        <v>64.666666666666671</v>
      </c>
      <c r="BI22" s="584">
        <f t="shared" si="34"/>
        <v>31.308948688271609</v>
      </c>
      <c r="BJ22" s="584">
        <f t="shared" si="35"/>
        <v>1.2469444444444449</v>
      </c>
      <c r="BK22" s="599">
        <f t="shared" si="36"/>
        <v>26.068000000000005</v>
      </c>
      <c r="BL22" s="599">
        <f t="shared" si="37"/>
        <v>97.415135135135131</v>
      </c>
      <c r="BM22" s="584">
        <f t="shared" si="138"/>
        <v>156.03902826785119</v>
      </c>
      <c r="BN22" s="584">
        <f t="shared" si="38"/>
        <v>156.04680147058824</v>
      </c>
      <c r="BO22" s="584">
        <f t="shared" si="139"/>
        <v>1</v>
      </c>
      <c r="BP22" s="609">
        <f t="shared" si="40"/>
        <v>6.25</v>
      </c>
      <c r="BQ22" s="718">
        <v>0.626</v>
      </c>
      <c r="BR22" s="599">
        <f t="shared" si="41"/>
        <v>71.666666666666671</v>
      </c>
      <c r="BS22" s="584">
        <f t="shared" si="42"/>
        <v>37.445345968364194</v>
      </c>
      <c r="BT22" s="584">
        <f t="shared" si="43"/>
        <v>1.6684027777777781</v>
      </c>
      <c r="BU22" s="599">
        <f t="shared" si="44"/>
        <v>31.654000000000007</v>
      </c>
      <c r="BV22" s="599">
        <f t="shared" si="45"/>
        <v>97.415135135135131</v>
      </c>
      <c r="BW22" s="584">
        <f t="shared" si="140"/>
        <v>168.18288388127712</v>
      </c>
      <c r="BX22" s="584">
        <f t="shared" si="47"/>
        <v>168.4229779411765</v>
      </c>
      <c r="BY22" s="584">
        <f t="shared" si="141"/>
        <v>1</v>
      </c>
      <c r="BZ22" s="609">
        <f t="shared" si="49"/>
        <v>5.75</v>
      </c>
      <c r="CA22" s="718">
        <v>0.61799999999999999</v>
      </c>
      <c r="CB22" s="599">
        <f t="shared" si="50"/>
        <v>70.333333333333329</v>
      </c>
      <c r="CC22" s="584">
        <f t="shared" si="51"/>
        <v>36.2388158757716</v>
      </c>
      <c r="CD22" s="584">
        <f t="shared" si="52"/>
        <v>1.5834027777777773</v>
      </c>
      <c r="CE22" s="599">
        <f t="shared" si="53"/>
        <v>30.589999999999996</v>
      </c>
      <c r="CF22" s="599">
        <f t="shared" si="54"/>
        <v>97.415135135135131</v>
      </c>
      <c r="CG22" s="584">
        <f t="shared" si="142"/>
        <v>165.82735378868449</v>
      </c>
      <c r="CH22" s="584">
        <f t="shared" si="56"/>
        <v>165.95903676470587</v>
      </c>
      <c r="CI22" s="584">
        <f t="shared" si="143"/>
        <v>1</v>
      </c>
      <c r="CJ22" s="609">
        <f t="shared" si="58"/>
        <v>6</v>
      </c>
      <c r="CK22" s="718">
        <v>0.59899999999999998</v>
      </c>
      <c r="CL22" s="599">
        <f t="shared" si="59"/>
        <v>67</v>
      </c>
      <c r="CM22" s="584">
        <f t="shared" si="60"/>
        <v>33.300092881944437</v>
      </c>
      <c r="CN22" s="584">
        <f t="shared" si="61"/>
        <v>1.380625</v>
      </c>
      <c r="CO22" s="599">
        <f t="shared" si="62"/>
        <v>27.93</v>
      </c>
      <c r="CP22" s="599">
        <f t="shared" si="63"/>
        <v>97.415135135135131</v>
      </c>
      <c r="CQ22" s="584">
        <f t="shared" si="144"/>
        <v>160.02585301707956</v>
      </c>
      <c r="CR22" s="584">
        <f t="shared" si="65"/>
        <v>160.08454411764706</v>
      </c>
      <c r="CS22" s="584">
        <f t="shared" si="145"/>
        <v>1</v>
      </c>
      <c r="CT22" s="609">
        <f t="shared" si="67"/>
        <v>6</v>
      </c>
      <c r="CU22" s="718">
        <v>0.56999999999999995</v>
      </c>
      <c r="CV22" s="599">
        <f t="shared" si="68"/>
        <v>61</v>
      </c>
      <c r="CW22" s="584">
        <f t="shared" si="69"/>
        <v>28.289759548611109</v>
      </c>
      <c r="CX22" s="584">
        <f t="shared" si="70"/>
        <v>1.0506250000000001</v>
      </c>
      <c r="CY22" s="599">
        <f t="shared" si="71"/>
        <v>23.142000000000003</v>
      </c>
      <c r="CZ22" s="599">
        <f t="shared" si="72"/>
        <v>97.415135135135131</v>
      </c>
      <c r="DA22" s="584">
        <f t="shared" si="146"/>
        <v>149.89751968374622</v>
      </c>
      <c r="DB22" s="584">
        <f t="shared" si="74"/>
        <v>151.0568014705882</v>
      </c>
      <c r="DC22" s="584">
        <f t="shared" si="147"/>
        <v>1</v>
      </c>
      <c r="DD22" s="609">
        <f t="shared" si="76"/>
        <v>6.5</v>
      </c>
      <c r="DE22" s="718">
        <v>0.63300000000000001</v>
      </c>
      <c r="DF22" s="599">
        <f t="shared" si="77"/>
        <v>73</v>
      </c>
      <c r="DG22" s="584">
        <f t="shared" si="78"/>
        <v>38.669613715277777</v>
      </c>
      <c r="DH22" s="584">
        <f t="shared" si="79"/>
        <v>1.755625</v>
      </c>
      <c r="DI22" s="599">
        <f t="shared" si="80"/>
        <v>32.718000000000004</v>
      </c>
      <c r="DJ22" s="599">
        <f t="shared" si="81"/>
        <v>97.415135135135131</v>
      </c>
      <c r="DK22" s="584">
        <f t="shared" si="148"/>
        <v>170.55837385041292</v>
      </c>
      <c r="DL22" s="584">
        <f t="shared" si="83"/>
        <v>170.57429411764704</v>
      </c>
      <c r="DM22" s="584">
        <f t="shared" si="149"/>
        <v>1</v>
      </c>
      <c r="DN22" s="609">
        <f t="shared" si="85"/>
        <v>5.75</v>
      </c>
    </row>
    <row r="23" spans="1:118" x14ac:dyDescent="0.2">
      <c r="A23">
        <v>15</v>
      </c>
      <c r="C23" s="497">
        <v>5</v>
      </c>
      <c r="D23" s="600" t="s">
        <v>41</v>
      </c>
      <c r="E23" s="712">
        <v>0.59900000000000009</v>
      </c>
      <c r="F23" s="584">
        <f t="shared" si="86"/>
        <v>64.166666666666671</v>
      </c>
      <c r="G23" s="584">
        <f t="shared" si="102"/>
        <v>46.119508945794756</v>
      </c>
      <c r="H23" s="584">
        <f t="shared" si="103"/>
        <v>1.4200694444444448</v>
      </c>
      <c r="I23" s="584">
        <f t="shared" si="104"/>
        <v>28.462000000000007</v>
      </c>
      <c r="J23" s="584">
        <f t="shared" si="105"/>
        <v>181.9215783902392</v>
      </c>
      <c r="K23" s="584">
        <f t="shared" si="106"/>
        <v>182.00872058823532</v>
      </c>
      <c r="L23" s="584">
        <f t="shared" si="107"/>
        <v>1</v>
      </c>
      <c r="M23" s="609">
        <f t="shared" si="89"/>
        <v>6</v>
      </c>
      <c r="N23" s="715">
        <v>0.64500000000000013</v>
      </c>
      <c r="O23" s="584">
        <f t="shared" si="90"/>
        <v>71.166666666666671</v>
      </c>
      <c r="P23" s="584">
        <f t="shared" si="108"/>
        <v>53.907985218942912</v>
      </c>
      <c r="Q23" s="584">
        <f t="shared" si="109"/>
        <v>1.867777777777778</v>
      </c>
      <c r="R23" s="584">
        <f t="shared" si="110"/>
        <v>34.048000000000009</v>
      </c>
      <c r="S23" s="584">
        <f t="shared" si="111"/>
        <v>195.7437629967207</v>
      </c>
      <c r="T23" s="584">
        <f t="shared" si="112"/>
        <v>195.87941176470594</v>
      </c>
      <c r="U23" s="584">
        <f t="shared" si="113"/>
        <v>1</v>
      </c>
      <c r="V23" s="609">
        <f t="shared" si="91"/>
        <v>5.75</v>
      </c>
      <c r="W23" s="718">
        <v>0.63600000000000012</v>
      </c>
      <c r="X23" s="584">
        <f t="shared" si="92"/>
        <v>69.833333333333329</v>
      </c>
      <c r="Y23" s="584">
        <f t="shared" si="114"/>
        <v>52.386773413387345</v>
      </c>
      <c r="Z23" s="584">
        <f t="shared" si="115"/>
        <v>1.7777777777777772</v>
      </c>
      <c r="AA23" s="584">
        <f t="shared" si="116"/>
        <v>32.983999999999995</v>
      </c>
      <c r="AB23" s="584">
        <f t="shared" si="117"/>
        <v>193.06855119116511</v>
      </c>
      <c r="AC23" s="584">
        <f t="shared" si="118"/>
        <v>193.18027205882359</v>
      </c>
      <c r="AD23" s="584">
        <f t="shared" si="119"/>
        <v>1</v>
      </c>
      <c r="AE23" s="609">
        <f t="shared" si="93"/>
        <v>5.75</v>
      </c>
      <c r="AF23" s="718">
        <v>0.6140000000000001</v>
      </c>
      <c r="AG23" s="584">
        <f t="shared" si="94"/>
        <v>66.5</v>
      </c>
      <c r="AH23" s="584">
        <f t="shared" si="120"/>
        <v>48.661346137152783</v>
      </c>
      <c r="AI23" s="584">
        <f t="shared" si="121"/>
        <v>1.5625000000000004</v>
      </c>
      <c r="AJ23" s="584">
        <f t="shared" si="122"/>
        <v>30.324000000000002</v>
      </c>
      <c r="AK23" s="584">
        <f t="shared" si="123"/>
        <v>186.46784613715278</v>
      </c>
      <c r="AL23" s="584">
        <f t="shared" si="124"/>
        <v>186.55228676470591</v>
      </c>
      <c r="AM23" s="584">
        <f t="shared" si="125"/>
        <v>1</v>
      </c>
      <c r="AN23" s="609">
        <f t="shared" si="95"/>
        <v>6</v>
      </c>
      <c r="AO23" s="718">
        <v>0.57600000000000007</v>
      </c>
      <c r="AP23" s="584">
        <f t="shared" si="96"/>
        <v>60.5</v>
      </c>
      <c r="AQ23" s="584">
        <f t="shared" si="126"/>
        <v>42.234945095486118</v>
      </c>
      <c r="AR23" s="584">
        <f t="shared" si="127"/>
        <v>1.2099999999999997</v>
      </c>
      <c r="AS23" s="584">
        <f t="shared" si="128"/>
        <v>25.536000000000001</v>
      </c>
      <c r="AT23" s="584">
        <f t="shared" si="129"/>
        <v>174.90094509548612</v>
      </c>
      <c r="AU23" s="584">
        <f t="shared" si="130"/>
        <v>175.00336029411767</v>
      </c>
      <c r="AV23" s="584">
        <f t="shared" si="131"/>
        <v>1</v>
      </c>
      <c r="AW23" s="609">
        <f t="shared" si="97"/>
        <v>6.25</v>
      </c>
      <c r="AX23" s="718">
        <v>0.65400000000000014</v>
      </c>
      <c r="AY23" s="584">
        <f t="shared" si="98"/>
        <v>72.5</v>
      </c>
      <c r="AZ23" s="584">
        <f t="shared" si="132"/>
        <v>55.446934678819446</v>
      </c>
      <c r="BA23" s="584">
        <f t="shared" si="133"/>
        <v>1.9600000000000004</v>
      </c>
      <c r="BB23" s="584">
        <f t="shared" si="134"/>
        <v>35.112000000000002</v>
      </c>
      <c r="BC23" s="584">
        <f t="shared" si="135"/>
        <v>198.43893467881946</v>
      </c>
      <c r="BD23" s="584">
        <f t="shared" si="136"/>
        <v>198.57140441176472</v>
      </c>
      <c r="BE23" s="584">
        <f t="shared" si="137"/>
        <v>1</v>
      </c>
      <c r="BF23" s="609">
        <f t="shared" si="99"/>
        <v>5.5</v>
      </c>
      <c r="BG23" s="718">
        <v>0.60299999999999998</v>
      </c>
      <c r="BH23" s="599">
        <f t="shared" si="33"/>
        <v>67.666666666666671</v>
      </c>
      <c r="BI23" s="584">
        <f t="shared" si="34"/>
        <v>33.878968653549386</v>
      </c>
      <c r="BJ23" s="584">
        <f t="shared" si="35"/>
        <v>1.4200694444444448</v>
      </c>
      <c r="BK23" s="599">
        <f t="shared" si="36"/>
        <v>28.462000000000007</v>
      </c>
      <c r="BL23" s="599">
        <f t="shared" si="37"/>
        <v>97.415135135135131</v>
      </c>
      <c r="BM23" s="584">
        <f t="shared" si="138"/>
        <v>161.17617323312896</v>
      </c>
      <c r="BN23" s="584">
        <f t="shared" si="38"/>
        <v>161.32392647058822</v>
      </c>
      <c r="BO23" s="584">
        <f t="shared" si="139"/>
        <v>1</v>
      </c>
      <c r="BP23" s="609">
        <f t="shared" si="40"/>
        <v>6</v>
      </c>
      <c r="BQ23" s="718">
        <v>0.64300000000000002</v>
      </c>
      <c r="BR23" s="599">
        <f t="shared" si="41"/>
        <v>74.666666666666671</v>
      </c>
      <c r="BS23" s="584">
        <f t="shared" si="42"/>
        <v>40.224891975308637</v>
      </c>
      <c r="BT23" s="584">
        <f t="shared" si="43"/>
        <v>1.867777777777778</v>
      </c>
      <c r="BU23" s="599">
        <f t="shared" si="44"/>
        <v>34.048000000000009</v>
      </c>
      <c r="BV23" s="599">
        <f t="shared" si="45"/>
        <v>97.415135135135131</v>
      </c>
      <c r="BW23" s="584">
        <f t="shared" si="140"/>
        <v>173.55580488822156</v>
      </c>
      <c r="BX23" s="584">
        <f t="shared" si="47"/>
        <v>173.64010294117648</v>
      </c>
      <c r="BY23" s="584">
        <f t="shared" si="141"/>
        <v>1</v>
      </c>
      <c r="BZ23" s="609">
        <f t="shared" si="49"/>
        <v>5.75</v>
      </c>
      <c r="CA23" s="718">
        <v>0.63500000000000001</v>
      </c>
      <c r="CB23" s="599">
        <f t="shared" si="50"/>
        <v>73.333333333333329</v>
      </c>
      <c r="CC23" s="584">
        <f t="shared" si="51"/>
        <v>38.978452160493823</v>
      </c>
      <c r="CD23" s="584">
        <f t="shared" si="52"/>
        <v>1.7777777777777772</v>
      </c>
      <c r="CE23" s="599">
        <f t="shared" si="53"/>
        <v>32.983999999999995</v>
      </c>
      <c r="CF23" s="599">
        <f t="shared" si="54"/>
        <v>97.415135135135131</v>
      </c>
      <c r="CG23" s="584">
        <f t="shared" si="142"/>
        <v>171.15536507340673</v>
      </c>
      <c r="CH23" s="584">
        <f t="shared" si="56"/>
        <v>171.18816176470591</v>
      </c>
      <c r="CI23" s="584">
        <f t="shared" si="143"/>
        <v>1</v>
      </c>
      <c r="CJ23" s="609">
        <f t="shared" si="58"/>
        <v>5.75</v>
      </c>
      <c r="CK23" s="718">
        <v>0.61599999999999999</v>
      </c>
      <c r="CL23" s="599">
        <f t="shared" si="59"/>
        <v>70</v>
      </c>
      <c r="CM23" s="584">
        <f t="shared" si="60"/>
        <v>35.939954861111104</v>
      </c>
      <c r="CN23" s="584">
        <f t="shared" si="61"/>
        <v>1.5625000000000004</v>
      </c>
      <c r="CO23" s="599">
        <f t="shared" si="62"/>
        <v>30.324000000000002</v>
      </c>
      <c r="CP23" s="599">
        <f t="shared" si="63"/>
        <v>97.415135135135131</v>
      </c>
      <c r="CQ23" s="584">
        <f t="shared" si="144"/>
        <v>165.24158999624623</v>
      </c>
      <c r="CR23" s="584">
        <f t="shared" si="65"/>
        <v>165.34216911764707</v>
      </c>
      <c r="CS23" s="584">
        <f t="shared" si="145"/>
        <v>1</v>
      </c>
      <c r="CT23" s="609">
        <f t="shared" si="67"/>
        <v>6</v>
      </c>
      <c r="CU23" s="718">
        <v>0.58299999999999996</v>
      </c>
      <c r="CV23" s="599">
        <f t="shared" si="68"/>
        <v>64</v>
      </c>
      <c r="CW23" s="584">
        <f t="shared" si="69"/>
        <v>30.750027777777774</v>
      </c>
      <c r="CX23" s="584">
        <f t="shared" si="70"/>
        <v>1.2099999999999997</v>
      </c>
      <c r="CY23" s="599">
        <f t="shared" si="71"/>
        <v>25.536000000000001</v>
      </c>
      <c r="CZ23" s="599">
        <f t="shared" si="72"/>
        <v>97.415135135135131</v>
      </c>
      <c r="DA23" s="584">
        <f t="shared" si="146"/>
        <v>154.91116291291291</v>
      </c>
      <c r="DB23" s="584">
        <f t="shared" si="74"/>
        <v>155.11289705882353</v>
      </c>
      <c r="DC23" s="584">
        <f t="shared" si="147"/>
        <v>1</v>
      </c>
      <c r="DD23" s="609">
        <f t="shared" si="76"/>
        <v>6.25</v>
      </c>
      <c r="DE23" s="718">
        <v>0.65100000000000002</v>
      </c>
      <c r="DF23" s="599">
        <f t="shared" si="77"/>
        <v>76</v>
      </c>
      <c r="DG23" s="584">
        <f t="shared" si="78"/>
        <v>41.489069444444439</v>
      </c>
      <c r="DH23" s="584">
        <f t="shared" si="79"/>
        <v>1.9600000000000004</v>
      </c>
      <c r="DI23" s="599">
        <f t="shared" si="80"/>
        <v>35.112000000000002</v>
      </c>
      <c r="DJ23" s="599">
        <f t="shared" si="81"/>
        <v>97.415135135135131</v>
      </c>
      <c r="DK23" s="584">
        <f t="shared" si="148"/>
        <v>175.97620457957959</v>
      </c>
      <c r="DL23" s="584">
        <f t="shared" si="83"/>
        <v>176.08639705882351</v>
      </c>
      <c r="DM23" s="584">
        <f t="shared" si="149"/>
        <v>1</v>
      </c>
      <c r="DN23" s="609">
        <f t="shared" si="85"/>
        <v>5.5</v>
      </c>
    </row>
    <row r="24" spans="1:118" x14ac:dyDescent="0.2">
      <c r="A24">
        <v>16</v>
      </c>
      <c r="C24" s="497">
        <v>5.25</v>
      </c>
      <c r="D24" s="600" t="s">
        <v>41</v>
      </c>
      <c r="E24" s="712">
        <v>0.61900000000000011</v>
      </c>
      <c r="F24" s="584">
        <f t="shared" si="86"/>
        <v>67.166666666666671</v>
      </c>
      <c r="G24" s="584">
        <f t="shared" si="102"/>
        <v>49.397562765239194</v>
      </c>
      <c r="H24" s="584">
        <f t="shared" si="103"/>
        <v>1.6044444444444446</v>
      </c>
      <c r="I24" s="584">
        <f t="shared" si="104"/>
        <v>30.856000000000005</v>
      </c>
      <c r="J24" s="584">
        <f t="shared" si="105"/>
        <v>187.77800720968366</v>
      </c>
      <c r="K24" s="584">
        <f t="shared" si="106"/>
        <v>188.06239705882356</v>
      </c>
      <c r="L24" s="584">
        <f t="shared" si="107"/>
        <v>1</v>
      </c>
      <c r="M24" s="609">
        <f t="shared" si="89"/>
        <v>6</v>
      </c>
      <c r="N24" s="715">
        <v>0.66500000000000015</v>
      </c>
      <c r="O24" s="584">
        <f t="shared" si="90"/>
        <v>74.166666666666671</v>
      </c>
      <c r="P24" s="584">
        <f t="shared" si="108"/>
        <v>57.395565080054013</v>
      </c>
      <c r="Q24" s="584">
        <f t="shared" si="109"/>
        <v>2.0784027777777783</v>
      </c>
      <c r="R24" s="584">
        <f t="shared" si="110"/>
        <v>36.442000000000007</v>
      </c>
      <c r="S24" s="584">
        <f t="shared" si="111"/>
        <v>201.8359678578318</v>
      </c>
      <c r="T24" s="584">
        <f t="shared" si="112"/>
        <v>201.8519117647059</v>
      </c>
      <c r="U24" s="584">
        <f t="shared" si="113"/>
        <v>1</v>
      </c>
      <c r="V24" s="609">
        <f t="shared" si="91"/>
        <v>5.5</v>
      </c>
      <c r="W24" s="718">
        <v>0.65600000000000014</v>
      </c>
      <c r="X24" s="584">
        <f t="shared" si="92"/>
        <v>72.833333333333329</v>
      </c>
      <c r="Y24" s="584">
        <f t="shared" si="114"/>
        <v>55.834443552276227</v>
      </c>
      <c r="Z24" s="584">
        <f t="shared" si="115"/>
        <v>1.9834027777777776</v>
      </c>
      <c r="AA24" s="584">
        <f t="shared" si="116"/>
        <v>35.378</v>
      </c>
      <c r="AB24" s="584">
        <f t="shared" si="117"/>
        <v>199.11584633005401</v>
      </c>
      <c r="AC24" s="584">
        <f t="shared" si="118"/>
        <v>199.16865441176475</v>
      </c>
      <c r="AD24" s="584">
        <f t="shared" si="119"/>
        <v>1</v>
      </c>
      <c r="AE24" s="609">
        <f t="shared" si="93"/>
        <v>5.5</v>
      </c>
      <c r="AF24" s="718">
        <v>0.63400000000000012</v>
      </c>
      <c r="AG24" s="584">
        <f t="shared" si="94"/>
        <v>69.5</v>
      </c>
      <c r="AH24" s="584">
        <f t="shared" si="120"/>
        <v>52.009241970486109</v>
      </c>
      <c r="AI24" s="584">
        <f t="shared" si="121"/>
        <v>1.755625</v>
      </c>
      <c r="AJ24" s="584">
        <f t="shared" si="122"/>
        <v>32.718000000000004</v>
      </c>
      <c r="AK24" s="584">
        <f t="shared" si="123"/>
        <v>192.40286697048612</v>
      </c>
      <c r="AL24" s="584">
        <f t="shared" si="124"/>
        <v>192.57949264705883</v>
      </c>
      <c r="AM24" s="584">
        <f t="shared" si="125"/>
        <v>1</v>
      </c>
      <c r="AN24" s="609">
        <f t="shared" si="95"/>
        <v>5.75</v>
      </c>
      <c r="AO24" s="718">
        <v>0.59500000000000008</v>
      </c>
      <c r="AP24" s="584">
        <f t="shared" si="96"/>
        <v>63.5</v>
      </c>
      <c r="AQ24" s="584">
        <f t="shared" si="126"/>
        <v>45.403247178819441</v>
      </c>
      <c r="AR24" s="584">
        <f t="shared" si="127"/>
        <v>1.380625</v>
      </c>
      <c r="AS24" s="584">
        <f t="shared" si="128"/>
        <v>27.93</v>
      </c>
      <c r="AT24" s="584">
        <f t="shared" si="129"/>
        <v>180.63387217881944</v>
      </c>
      <c r="AU24" s="584">
        <f t="shared" si="130"/>
        <v>180.79375000000005</v>
      </c>
      <c r="AV24" s="584">
        <f t="shared" si="131"/>
        <v>1</v>
      </c>
      <c r="AW24" s="609">
        <f t="shared" si="97"/>
        <v>6.25</v>
      </c>
      <c r="AX24" s="718">
        <v>0.67500000000000016</v>
      </c>
      <c r="AY24" s="584">
        <f t="shared" si="98"/>
        <v>75.5</v>
      </c>
      <c r="AZ24" s="584">
        <f t="shared" si="132"/>
        <v>58.97442426215278</v>
      </c>
      <c r="BA24" s="584">
        <f t="shared" si="133"/>
        <v>2.1756250000000001</v>
      </c>
      <c r="BB24" s="584">
        <f t="shared" si="134"/>
        <v>37.506</v>
      </c>
      <c r="BC24" s="584">
        <f t="shared" si="135"/>
        <v>204.57604926215276</v>
      </c>
      <c r="BD24" s="584">
        <f t="shared" si="136"/>
        <v>204.82492647058831</v>
      </c>
      <c r="BE24" s="584">
        <f t="shared" si="137"/>
        <v>1</v>
      </c>
      <c r="BF24" s="609">
        <f t="shared" si="99"/>
        <v>5.5</v>
      </c>
      <c r="BG24" s="718">
        <v>0.62</v>
      </c>
      <c r="BH24" s="599">
        <f t="shared" si="33"/>
        <v>70.666666666666671</v>
      </c>
      <c r="BI24" s="584">
        <f t="shared" si="34"/>
        <v>36.53878549382717</v>
      </c>
      <c r="BJ24" s="584">
        <f t="shared" si="35"/>
        <v>1.6044444444444446</v>
      </c>
      <c r="BK24" s="599">
        <f t="shared" si="36"/>
        <v>30.856000000000005</v>
      </c>
      <c r="BL24" s="599">
        <f t="shared" si="37"/>
        <v>97.415135135135131</v>
      </c>
      <c r="BM24" s="584">
        <f t="shared" si="138"/>
        <v>166.41436507340677</v>
      </c>
      <c r="BN24" s="584">
        <f t="shared" si="38"/>
        <v>166.57555147058827</v>
      </c>
      <c r="BO24" s="584">
        <f t="shared" si="139"/>
        <v>1</v>
      </c>
      <c r="BP24" s="609">
        <f t="shared" si="40"/>
        <v>6</v>
      </c>
      <c r="BQ24" s="718">
        <v>0.66100000000000003</v>
      </c>
      <c r="BR24" s="599">
        <f t="shared" si="41"/>
        <v>77.666666666666671</v>
      </c>
      <c r="BS24" s="584">
        <f t="shared" si="42"/>
        <v>43.094234857253085</v>
      </c>
      <c r="BT24" s="584">
        <f t="shared" si="43"/>
        <v>2.0784027777777783</v>
      </c>
      <c r="BU24" s="599">
        <f t="shared" si="44"/>
        <v>36.442000000000007</v>
      </c>
      <c r="BV24" s="599">
        <f t="shared" si="45"/>
        <v>97.415135135135131</v>
      </c>
      <c r="BW24" s="584">
        <f t="shared" si="140"/>
        <v>179.02977277016601</v>
      </c>
      <c r="BX24" s="584">
        <f t="shared" si="47"/>
        <v>179.13632352941175</v>
      </c>
      <c r="BY24" s="584">
        <f t="shared" si="141"/>
        <v>1</v>
      </c>
      <c r="BZ24" s="609">
        <f t="shared" si="49"/>
        <v>5.5</v>
      </c>
      <c r="CA24" s="718">
        <v>0.65300000000000002</v>
      </c>
      <c r="CB24" s="599">
        <f t="shared" si="50"/>
        <v>76.333333333333329</v>
      </c>
      <c r="CC24" s="584">
        <f t="shared" si="51"/>
        <v>41.807885320216045</v>
      </c>
      <c r="CD24" s="584">
        <f t="shared" si="52"/>
        <v>1.9834027777777776</v>
      </c>
      <c r="CE24" s="599">
        <f t="shared" si="53"/>
        <v>35.378</v>
      </c>
      <c r="CF24" s="599">
        <f t="shared" si="54"/>
        <v>97.415135135135131</v>
      </c>
      <c r="CG24" s="584">
        <f t="shared" si="142"/>
        <v>176.58442323312894</v>
      </c>
      <c r="CH24" s="584">
        <f t="shared" si="56"/>
        <v>176.6970882352941</v>
      </c>
      <c r="CI24" s="584">
        <f t="shared" si="143"/>
        <v>1</v>
      </c>
      <c r="CJ24" s="609">
        <f t="shared" si="58"/>
        <v>5.5</v>
      </c>
      <c r="CK24" s="718">
        <v>0.63300000000000001</v>
      </c>
      <c r="CL24" s="599">
        <f t="shared" si="59"/>
        <v>73</v>
      </c>
      <c r="CM24" s="584">
        <f t="shared" si="60"/>
        <v>38.669613715277777</v>
      </c>
      <c r="CN24" s="584">
        <f t="shared" si="61"/>
        <v>1.755625</v>
      </c>
      <c r="CO24" s="599">
        <f t="shared" si="62"/>
        <v>32.718000000000004</v>
      </c>
      <c r="CP24" s="599">
        <f t="shared" si="63"/>
        <v>97.415135135135131</v>
      </c>
      <c r="CQ24" s="584">
        <f t="shared" si="144"/>
        <v>170.55837385041292</v>
      </c>
      <c r="CR24" s="584">
        <f t="shared" si="65"/>
        <v>170.57429411764704</v>
      </c>
      <c r="CS24" s="584">
        <f t="shared" si="145"/>
        <v>1</v>
      </c>
      <c r="CT24" s="609">
        <f t="shared" si="67"/>
        <v>5.75</v>
      </c>
      <c r="CU24" s="718">
        <v>0.59899999999999998</v>
      </c>
      <c r="CV24" s="599">
        <f t="shared" si="68"/>
        <v>67</v>
      </c>
      <c r="CW24" s="584">
        <f t="shared" si="69"/>
        <v>33.300092881944437</v>
      </c>
      <c r="CX24" s="584">
        <f t="shared" si="70"/>
        <v>1.380625</v>
      </c>
      <c r="CY24" s="599">
        <f t="shared" si="71"/>
        <v>27.93</v>
      </c>
      <c r="CZ24" s="599">
        <f t="shared" si="72"/>
        <v>97.415135135135131</v>
      </c>
      <c r="DA24" s="584">
        <f t="shared" si="146"/>
        <v>160.02585301707956</v>
      </c>
      <c r="DB24" s="584">
        <f t="shared" si="74"/>
        <v>160.08454411764706</v>
      </c>
      <c r="DC24" s="584">
        <f t="shared" si="147"/>
        <v>1</v>
      </c>
      <c r="DD24" s="609">
        <f t="shared" si="76"/>
        <v>6</v>
      </c>
      <c r="DE24" s="718">
        <v>0.66900000000000004</v>
      </c>
      <c r="DF24" s="599">
        <f t="shared" si="77"/>
        <v>79</v>
      </c>
      <c r="DG24" s="584">
        <f t="shared" si="78"/>
        <v>44.398322048611107</v>
      </c>
      <c r="DH24" s="584">
        <f t="shared" si="79"/>
        <v>2.1756250000000001</v>
      </c>
      <c r="DI24" s="599">
        <f t="shared" si="80"/>
        <v>37.506</v>
      </c>
      <c r="DJ24" s="599">
        <f t="shared" si="81"/>
        <v>97.415135135135131</v>
      </c>
      <c r="DK24" s="584">
        <f t="shared" si="148"/>
        <v>181.49508218374623</v>
      </c>
      <c r="DL24" s="584">
        <f t="shared" si="83"/>
        <v>181.56991176470592</v>
      </c>
      <c r="DM24" s="584">
        <f t="shared" si="149"/>
        <v>1</v>
      </c>
      <c r="DN24" s="609">
        <f t="shared" si="85"/>
        <v>5.5</v>
      </c>
    </row>
    <row r="25" spans="1:118" x14ac:dyDescent="0.2">
      <c r="A25">
        <v>17</v>
      </c>
      <c r="C25" s="497">
        <v>5.5</v>
      </c>
      <c r="D25" s="600" t="s">
        <v>41</v>
      </c>
      <c r="E25" s="712">
        <v>0.63800000000000012</v>
      </c>
      <c r="F25" s="584">
        <f t="shared" si="86"/>
        <v>70.166666666666671</v>
      </c>
      <c r="G25" s="584">
        <f t="shared" si="102"/>
        <v>52.76541345968365</v>
      </c>
      <c r="H25" s="584">
        <f t="shared" si="103"/>
        <v>1.8000694444444449</v>
      </c>
      <c r="I25" s="584">
        <f t="shared" si="104"/>
        <v>33.250000000000007</v>
      </c>
      <c r="J25" s="584">
        <f t="shared" si="105"/>
        <v>193.73548290412811</v>
      </c>
      <c r="K25" s="584">
        <f t="shared" si="106"/>
        <v>193.78069852941181</v>
      </c>
      <c r="L25" s="584">
        <f t="shared" si="107"/>
        <v>1</v>
      </c>
      <c r="M25" s="609">
        <f t="shared" si="89"/>
        <v>5.75</v>
      </c>
      <c r="N25" s="715">
        <v>0.68600000000000017</v>
      </c>
      <c r="O25" s="584">
        <f t="shared" si="90"/>
        <v>77.166666666666671</v>
      </c>
      <c r="P25" s="584">
        <f t="shared" si="108"/>
        <v>60.972941816165132</v>
      </c>
      <c r="Q25" s="584">
        <f t="shared" si="109"/>
        <v>2.3002777777777785</v>
      </c>
      <c r="R25" s="584">
        <f t="shared" si="110"/>
        <v>38.836000000000006</v>
      </c>
      <c r="S25" s="584">
        <f t="shared" si="111"/>
        <v>208.02921959394291</v>
      </c>
      <c r="T25" s="584">
        <f t="shared" si="112"/>
        <v>208.08505147058827</v>
      </c>
      <c r="U25" s="584">
        <f t="shared" si="113"/>
        <v>1</v>
      </c>
      <c r="V25" s="609">
        <f t="shared" si="91"/>
        <v>5.25</v>
      </c>
      <c r="W25" s="718">
        <v>0.67700000000000016</v>
      </c>
      <c r="X25" s="584">
        <f t="shared" si="92"/>
        <v>75.833333333333329</v>
      </c>
      <c r="Y25" s="584">
        <f t="shared" si="114"/>
        <v>59.371910566165113</v>
      </c>
      <c r="Z25" s="584">
        <f t="shared" si="115"/>
        <v>2.2002777777777767</v>
      </c>
      <c r="AA25" s="584">
        <f t="shared" si="116"/>
        <v>37.771999999999998</v>
      </c>
      <c r="AB25" s="584">
        <f t="shared" si="117"/>
        <v>205.26418834394289</v>
      </c>
      <c r="AC25" s="584">
        <f t="shared" si="118"/>
        <v>205.41847058823535</v>
      </c>
      <c r="AD25" s="584">
        <f t="shared" si="119"/>
        <v>1</v>
      </c>
      <c r="AE25" s="609">
        <f t="shared" si="93"/>
        <v>5.25</v>
      </c>
      <c r="AF25" s="718">
        <v>0.65400000000000014</v>
      </c>
      <c r="AG25" s="584">
        <f t="shared" si="94"/>
        <v>72.5</v>
      </c>
      <c r="AH25" s="584">
        <f t="shared" si="120"/>
        <v>55.446934678819446</v>
      </c>
      <c r="AI25" s="584">
        <f t="shared" si="121"/>
        <v>1.9600000000000004</v>
      </c>
      <c r="AJ25" s="584">
        <f t="shared" si="122"/>
        <v>35.112000000000002</v>
      </c>
      <c r="AK25" s="584">
        <f t="shared" si="123"/>
        <v>198.43893467881946</v>
      </c>
      <c r="AL25" s="584">
        <f t="shared" si="124"/>
        <v>198.57140441176472</v>
      </c>
      <c r="AM25" s="584">
        <f t="shared" si="125"/>
        <v>1</v>
      </c>
      <c r="AN25" s="609">
        <f t="shared" si="95"/>
        <v>5.5</v>
      </c>
      <c r="AO25" s="718">
        <v>0.6140000000000001</v>
      </c>
      <c r="AP25" s="584">
        <f t="shared" si="96"/>
        <v>66.5</v>
      </c>
      <c r="AQ25" s="584">
        <f t="shared" si="126"/>
        <v>48.661346137152783</v>
      </c>
      <c r="AR25" s="584">
        <f t="shared" si="127"/>
        <v>1.5625000000000004</v>
      </c>
      <c r="AS25" s="584">
        <f t="shared" si="128"/>
        <v>30.324000000000002</v>
      </c>
      <c r="AT25" s="584">
        <f t="shared" si="129"/>
        <v>186.46784613715278</v>
      </c>
      <c r="AU25" s="584">
        <f t="shared" si="130"/>
        <v>186.55228676470591</v>
      </c>
      <c r="AV25" s="584">
        <f t="shared" si="131"/>
        <v>1</v>
      </c>
      <c r="AW25" s="609">
        <f t="shared" si="97"/>
        <v>6</v>
      </c>
      <c r="AX25" s="718">
        <v>0.69600000000000017</v>
      </c>
      <c r="AY25" s="584">
        <f t="shared" si="98"/>
        <v>78.5</v>
      </c>
      <c r="AZ25" s="584">
        <f t="shared" si="132"/>
        <v>62.591710720486105</v>
      </c>
      <c r="BA25" s="584">
        <f t="shared" si="133"/>
        <v>2.4025000000000003</v>
      </c>
      <c r="BB25" s="584">
        <f t="shared" si="134"/>
        <v>39.900000000000006</v>
      </c>
      <c r="BC25" s="584">
        <f t="shared" si="135"/>
        <v>210.81421072048613</v>
      </c>
      <c r="BD25" s="584">
        <f t="shared" si="136"/>
        <v>211.03953676470593</v>
      </c>
      <c r="BE25" s="584">
        <f t="shared" si="137"/>
        <v>1</v>
      </c>
      <c r="BF25" s="609">
        <f t="shared" si="99"/>
        <v>5.25</v>
      </c>
      <c r="BG25" s="718">
        <v>0.63700000000000001</v>
      </c>
      <c r="BH25" s="599">
        <f t="shared" si="33"/>
        <v>73.666666666666671</v>
      </c>
      <c r="BI25" s="584">
        <f t="shared" si="34"/>
        <v>39.288399209104945</v>
      </c>
      <c r="BJ25" s="584">
        <f t="shared" si="35"/>
        <v>1.8000694444444449</v>
      </c>
      <c r="BK25" s="599">
        <f t="shared" si="36"/>
        <v>33.250000000000007</v>
      </c>
      <c r="BL25" s="599">
        <f t="shared" si="37"/>
        <v>97.415135135135131</v>
      </c>
      <c r="BM25" s="584">
        <f t="shared" si="138"/>
        <v>171.75360378868453</v>
      </c>
      <c r="BN25" s="584">
        <f t="shared" si="38"/>
        <v>171.80167647058821</v>
      </c>
      <c r="BO25" s="584">
        <f t="shared" si="139"/>
        <v>1</v>
      </c>
      <c r="BP25" s="609">
        <f t="shared" si="40"/>
        <v>5.75</v>
      </c>
      <c r="BQ25" s="718">
        <v>0.68</v>
      </c>
      <c r="BR25" s="599">
        <f t="shared" si="41"/>
        <v>80.666666666666671</v>
      </c>
      <c r="BS25" s="584">
        <f t="shared" si="42"/>
        <v>46.053374614197537</v>
      </c>
      <c r="BT25" s="584">
        <f t="shared" si="43"/>
        <v>2.3002777777777785</v>
      </c>
      <c r="BU25" s="599">
        <f t="shared" si="44"/>
        <v>38.836000000000006</v>
      </c>
      <c r="BV25" s="599">
        <f t="shared" si="45"/>
        <v>97.415135135135131</v>
      </c>
      <c r="BW25" s="584">
        <f t="shared" si="140"/>
        <v>184.60478752711046</v>
      </c>
      <c r="BX25" s="584">
        <f t="shared" si="47"/>
        <v>184.90687500000001</v>
      </c>
      <c r="BY25" s="584">
        <f t="shared" si="141"/>
        <v>1</v>
      </c>
      <c r="BZ25" s="609">
        <f t="shared" si="49"/>
        <v>5.25</v>
      </c>
      <c r="CA25" s="718">
        <v>0.67100000000000004</v>
      </c>
      <c r="CB25" s="599">
        <f t="shared" si="50"/>
        <v>79.333333333333329</v>
      </c>
      <c r="CC25" s="584">
        <f t="shared" si="51"/>
        <v>44.727115354938263</v>
      </c>
      <c r="CD25" s="584">
        <f t="shared" si="52"/>
        <v>2.2002777777777767</v>
      </c>
      <c r="CE25" s="599">
        <f t="shared" si="53"/>
        <v>37.771999999999998</v>
      </c>
      <c r="CF25" s="599">
        <f t="shared" si="54"/>
        <v>97.415135135135131</v>
      </c>
      <c r="CG25" s="584">
        <f t="shared" si="142"/>
        <v>182.11452826785117</v>
      </c>
      <c r="CH25" s="584">
        <f t="shared" si="56"/>
        <v>182.17742647058827</v>
      </c>
      <c r="CI25" s="584">
        <f t="shared" si="143"/>
        <v>1</v>
      </c>
      <c r="CJ25" s="609">
        <f t="shared" si="58"/>
        <v>5.5</v>
      </c>
      <c r="CK25" s="718">
        <v>0.65100000000000002</v>
      </c>
      <c r="CL25" s="599">
        <f t="shared" si="59"/>
        <v>76</v>
      </c>
      <c r="CM25" s="584">
        <f t="shared" si="60"/>
        <v>41.489069444444439</v>
      </c>
      <c r="CN25" s="584">
        <f t="shared" si="61"/>
        <v>1.9600000000000004</v>
      </c>
      <c r="CO25" s="599">
        <f t="shared" si="62"/>
        <v>35.112000000000002</v>
      </c>
      <c r="CP25" s="599">
        <f t="shared" si="63"/>
        <v>97.415135135135131</v>
      </c>
      <c r="CQ25" s="584">
        <f t="shared" si="144"/>
        <v>175.97620457957959</v>
      </c>
      <c r="CR25" s="584">
        <f t="shared" si="65"/>
        <v>176.08639705882351</v>
      </c>
      <c r="CS25" s="584">
        <f t="shared" si="145"/>
        <v>1</v>
      </c>
      <c r="CT25" s="609">
        <f t="shared" si="67"/>
        <v>5.5</v>
      </c>
      <c r="CU25" s="718">
        <v>0.61599999999999999</v>
      </c>
      <c r="CV25" s="599">
        <f t="shared" si="68"/>
        <v>70</v>
      </c>
      <c r="CW25" s="584">
        <f t="shared" si="69"/>
        <v>35.939954861111104</v>
      </c>
      <c r="CX25" s="584">
        <f t="shared" si="70"/>
        <v>1.5625000000000004</v>
      </c>
      <c r="CY25" s="599">
        <f t="shared" si="71"/>
        <v>30.324000000000002</v>
      </c>
      <c r="CZ25" s="599">
        <f t="shared" si="72"/>
        <v>97.415135135135131</v>
      </c>
      <c r="DA25" s="584">
        <f t="shared" si="146"/>
        <v>165.24158999624623</v>
      </c>
      <c r="DB25" s="584">
        <f t="shared" si="74"/>
        <v>165.34216911764707</v>
      </c>
      <c r="DC25" s="584">
        <f t="shared" si="147"/>
        <v>1</v>
      </c>
      <c r="DD25" s="609">
        <f t="shared" si="76"/>
        <v>6</v>
      </c>
      <c r="DE25" s="718">
        <v>0.68800000000000006</v>
      </c>
      <c r="DF25" s="599">
        <f t="shared" si="77"/>
        <v>82</v>
      </c>
      <c r="DG25" s="584">
        <f t="shared" si="78"/>
        <v>47.397371527777779</v>
      </c>
      <c r="DH25" s="584">
        <f t="shared" si="79"/>
        <v>2.4025000000000003</v>
      </c>
      <c r="DI25" s="599">
        <f t="shared" si="80"/>
        <v>39.900000000000006</v>
      </c>
      <c r="DJ25" s="599">
        <f t="shared" si="81"/>
        <v>97.415135135135131</v>
      </c>
      <c r="DK25" s="584">
        <f t="shared" si="148"/>
        <v>187.11500666291292</v>
      </c>
      <c r="DL25" s="584">
        <f t="shared" si="83"/>
        <v>187.32705147058826</v>
      </c>
      <c r="DM25" s="584">
        <f t="shared" si="149"/>
        <v>1</v>
      </c>
      <c r="DN25" s="609">
        <f t="shared" si="85"/>
        <v>5.25</v>
      </c>
    </row>
    <row r="26" spans="1:118" x14ac:dyDescent="0.2">
      <c r="A26">
        <v>18</v>
      </c>
      <c r="C26" s="497">
        <v>5.75</v>
      </c>
      <c r="D26" s="600" t="s">
        <v>41</v>
      </c>
      <c r="E26" s="712">
        <v>0.65900000000000014</v>
      </c>
      <c r="F26" s="584">
        <f t="shared" si="86"/>
        <v>73.166666666666671</v>
      </c>
      <c r="G26" s="584">
        <f t="shared" si="102"/>
        <v>56.22306102912809</v>
      </c>
      <c r="H26" s="584">
        <f t="shared" si="103"/>
        <v>2.0069444444444446</v>
      </c>
      <c r="I26" s="584">
        <f t="shared" si="104"/>
        <v>35.644000000000005</v>
      </c>
      <c r="J26" s="584">
        <f t="shared" si="105"/>
        <v>199.79400547357255</v>
      </c>
      <c r="K26" s="584">
        <f t="shared" si="106"/>
        <v>200.06386764705886</v>
      </c>
      <c r="L26" s="584">
        <f t="shared" si="107"/>
        <v>1</v>
      </c>
      <c r="M26" s="609">
        <f t="shared" si="89"/>
        <v>5.5</v>
      </c>
      <c r="N26" s="715">
        <v>0.70800000000000018</v>
      </c>
      <c r="O26" s="584">
        <f t="shared" si="90"/>
        <v>80.166666666666671</v>
      </c>
      <c r="P26" s="584">
        <f t="shared" si="108"/>
        <v>64.640115427276243</v>
      </c>
      <c r="Q26" s="584">
        <f t="shared" si="109"/>
        <v>2.5334027777777788</v>
      </c>
      <c r="R26" s="584">
        <f t="shared" si="110"/>
        <v>41.230000000000004</v>
      </c>
      <c r="S26" s="584">
        <f t="shared" si="111"/>
        <v>214.32351820505403</v>
      </c>
      <c r="T26" s="584">
        <f t="shared" si="112"/>
        <v>214.57327205882359</v>
      </c>
      <c r="U26" s="584">
        <f t="shared" si="113"/>
        <v>1</v>
      </c>
      <c r="V26" s="609">
        <f t="shared" si="91"/>
        <v>5.25</v>
      </c>
      <c r="W26" s="718">
        <v>0.69800000000000018</v>
      </c>
      <c r="X26" s="584">
        <f t="shared" si="92"/>
        <v>78.833333333333329</v>
      </c>
      <c r="Y26" s="584">
        <f t="shared" si="114"/>
        <v>62.999174455054003</v>
      </c>
      <c r="Z26" s="584">
        <f t="shared" si="115"/>
        <v>2.428402777777777</v>
      </c>
      <c r="AA26" s="584">
        <f t="shared" si="116"/>
        <v>40.165999999999997</v>
      </c>
      <c r="AB26" s="584">
        <f t="shared" si="117"/>
        <v>211.51357723283178</v>
      </c>
      <c r="AC26" s="584">
        <f t="shared" si="118"/>
        <v>211.62937500000001</v>
      </c>
      <c r="AD26" s="584">
        <f t="shared" si="119"/>
        <v>1</v>
      </c>
      <c r="AE26" s="609">
        <f t="shared" si="93"/>
        <v>5.25</v>
      </c>
      <c r="AF26" s="718">
        <v>0.67500000000000016</v>
      </c>
      <c r="AG26" s="584">
        <f t="shared" si="94"/>
        <v>75.5</v>
      </c>
      <c r="AH26" s="584">
        <f t="shared" si="120"/>
        <v>58.97442426215278</v>
      </c>
      <c r="AI26" s="584">
        <f t="shared" si="121"/>
        <v>2.1756250000000001</v>
      </c>
      <c r="AJ26" s="584">
        <f t="shared" si="122"/>
        <v>37.506</v>
      </c>
      <c r="AK26" s="584">
        <f t="shared" si="123"/>
        <v>204.57604926215276</v>
      </c>
      <c r="AL26" s="584">
        <f t="shared" si="124"/>
        <v>204.82492647058831</v>
      </c>
      <c r="AM26" s="584">
        <f t="shared" si="125"/>
        <v>1</v>
      </c>
      <c r="AN26" s="609">
        <f t="shared" si="95"/>
        <v>5.5</v>
      </c>
      <c r="AO26" s="718">
        <v>0.63400000000000012</v>
      </c>
      <c r="AP26" s="584">
        <f t="shared" si="96"/>
        <v>69.5</v>
      </c>
      <c r="AQ26" s="584">
        <f t="shared" si="126"/>
        <v>52.009241970486109</v>
      </c>
      <c r="AR26" s="584">
        <f t="shared" si="127"/>
        <v>1.755625</v>
      </c>
      <c r="AS26" s="584">
        <f t="shared" si="128"/>
        <v>32.718000000000004</v>
      </c>
      <c r="AT26" s="584">
        <f t="shared" si="129"/>
        <v>192.40286697048612</v>
      </c>
      <c r="AU26" s="584">
        <f t="shared" si="130"/>
        <v>192.57949264705883</v>
      </c>
      <c r="AV26" s="584">
        <f t="shared" si="131"/>
        <v>1</v>
      </c>
      <c r="AW26" s="609">
        <f t="shared" si="97"/>
        <v>5.75</v>
      </c>
      <c r="AX26" s="718">
        <v>0.71700000000000019</v>
      </c>
      <c r="AY26" s="584">
        <f t="shared" si="98"/>
        <v>81.5</v>
      </c>
      <c r="AZ26" s="584">
        <f t="shared" si="132"/>
        <v>66.298794053819449</v>
      </c>
      <c r="BA26" s="584">
        <f t="shared" si="133"/>
        <v>2.6406250000000004</v>
      </c>
      <c r="BB26" s="584">
        <f t="shared" si="134"/>
        <v>42.294000000000004</v>
      </c>
      <c r="BC26" s="584">
        <f t="shared" si="135"/>
        <v>217.15341905381945</v>
      </c>
      <c r="BD26" s="584">
        <f t="shared" si="136"/>
        <v>217.21523529411772</v>
      </c>
      <c r="BE26" s="584">
        <f t="shared" si="137"/>
        <v>1</v>
      </c>
      <c r="BF26" s="609">
        <f t="shared" si="99"/>
        <v>5</v>
      </c>
      <c r="BG26" s="718">
        <v>0.65500000000000003</v>
      </c>
      <c r="BH26" s="599">
        <f t="shared" si="33"/>
        <v>76.666666666666671</v>
      </c>
      <c r="BI26" s="584">
        <f t="shared" si="34"/>
        <v>42.127809799382725</v>
      </c>
      <c r="BJ26" s="584">
        <f t="shared" si="35"/>
        <v>2.0069444444444446</v>
      </c>
      <c r="BK26" s="599">
        <f t="shared" si="36"/>
        <v>35.644000000000005</v>
      </c>
      <c r="BL26" s="599">
        <f t="shared" si="37"/>
        <v>97.415135135135131</v>
      </c>
      <c r="BM26" s="584">
        <f t="shared" si="138"/>
        <v>177.1938893789623</v>
      </c>
      <c r="BN26" s="584">
        <f t="shared" si="38"/>
        <v>177.30742647058827</v>
      </c>
      <c r="BO26" s="584">
        <f t="shared" si="139"/>
        <v>1</v>
      </c>
      <c r="BP26" s="609">
        <f t="shared" si="40"/>
        <v>5.5</v>
      </c>
      <c r="BQ26" s="718">
        <v>0.69800000000000006</v>
      </c>
      <c r="BR26" s="599">
        <f t="shared" si="41"/>
        <v>83.666666666666671</v>
      </c>
      <c r="BS26" s="584">
        <f t="shared" si="42"/>
        <v>49.10231124614198</v>
      </c>
      <c r="BT26" s="584">
        <f t="shared" si="43"/>
        <v>2.5334027777777788</v>
      </c>
      <c r="BU26" s="599">
        <f t="shared" si="44"/>
        <v>41.230000000000004</v>
      </c>
      <c r="BV26" s="599">
        <f t="shared" si="45"/>
        <v>97.415135135135131</v>
      </c>
      <c r="BW26" s="584">
        <f t="shared" si="140"/>
        <v>190.2808491590549</v>
      </c>
      <c r="BX26" s="584">
        <f t="shared" si="47"/>
        <v>190.34433088235295</v>
      </c>
      <c r="BY26" s="584">
        <f t="shared" si="141"/>
        <v>1</v>
      </c>
      <c r="BZ26" s="609">
        <f t="shared" si="49"/>
        <v>5.25</v>
      </c>
      <c r="CA26" s="718">
        <v>0.69000000000000006</v>
      </c>
      <c r="CB26" s="599">
        <f t="shared" si="50"/>
        <v>82.333333333333329</v>
      </c>
      <c r="CC26" s="584">
        <f t="shared" si="51"/>
        <v>47.736142264660501</v>
      </c>
      <c r="CD26" s="584">
        <f t="shared" si="52"/>
        <v>2.428402777777777</v>
      </c>
      <c r="CE26" s="599">
        <f t="shared" si="53"/>
        <v>40.165999999999997</v>
      </c>
      <c r="CF26" s="599">
        <f t="shared" si="54"/>
        <v>97.415135135135131</v>
      </c>
      <c r="CG26" s="584">
        <f t="shared" si="142"/>
        <v>187.7456801775734</v>
      </c>
      <c r="CH26" s="584">
        <f t="shared" si="56"/>
        <v>187.93121323529414</v>
      </c>
      <c r="CI26" s="584">
        <f t="shared" si="143"/>
        <v>1</v>
      </c>
      <c r="CJ26" s="609">
        <f t="shared" si="58"/>
        <v>5.25</v>
      </c>
      <c r="CK26" s="718">
        <v>0.66900000000000004</v>
      </c>
      <c r="CL26" s="599">
        <f t="shared" si="59"/>
        <v>79</v>
      </c>
      <c r="CM26" s="584">
        <f t="shared" si="60"/>
        <v>44.398322048611107</v>
      </c>
      <c r="CN26" s="584">
        <f t="shared" si="61"/>
        <v>2.1756250000000001</v>
      </c>
      <c r="CO26" s="599">
        <f t="shared" si="62"/>
        <v>37.506</v>
      </c>
      <c r="CP26" s="599">
        <f t="shared" si="63"/>
        <v>97.415135135135131</v>
      </c>
      <c r="CQ26" s="584">
        <f t="shared" si="144"/>
        <v>181.49508218374623</v>
      </c>
      <c r="CR26" s="584">
        <f t="shared" si="65"/>
        <v>181.56991176470592</v>
      </c>
      <c r="CS26" s="584">
        <f t="shared" si="145"/>
        <v>1</v>
      </c>
      <c r="CT26" s="609">
        <f t="shared" si="67"/>
        <v>5.5</v>
      </c>
      <c r="CU26" s="718">
        <v>0.63300000000000001</v>
      </c>
      <c r="CV26" s="599">
        <f t="shared" si="68"/>
        <v>73</v>
      </c>
      <c r="CW26" s="584">
        <f t="shared" si="69"/>
        <v>38.669613715277777</v>
      </c>
      <c r="CX26" s="584">
        <f t="shared" si="70"/>
        <v>1.755625</v>
      </c>
      <c r="CY26" s="599">
        <f t="shared" si="71"/>
        <v>32.718000000000004</v>
      </c>
      <c r="CZ26" s="599">
        <f t="shared" si="72"/>
        <v>97.415135135135131</v>
      </c>
      <c r="DA26" s="584">
        <f t="shared" si="146"/>
        <v>170.55837385041292</v>
      </c>
      <c r="DB26" s="584">
        <f t="shared" si="74"/>
        <v>170.57429411764704</v>
      </c>
      <c r="DC26" s="584">
        <f t="shared" si="147"/>
        <v>1</v>
      </c>
      <c r="DD26" s="609">
        <f t="shared" si="76"/>
        <v>5.75</v>
      </c>
      <c r="DE26" s="718">
        <v>0.70700000000000007</v>
      </c>
      <c r="DF26" s="599">
        <f t="shared" si="77"/>
        <v>85</v>
      </c>
      <c r="DG26" s="584">
        <f t="shared" si="78"/>
        <v>50.486217881944441</v>
      </c>
      <c r="DH26" s="584">
        <f t="shared" si="79"/>
        <v>2.6406250000000004</v>
      </c>
      <c r="DI26" s="599">
        <f t="shared" si="80"/>
        <v>42.294000000000004</v>
      </c>
      <c r="DJ26" s="599">
        <f t="shared" si="81"/>
        <v>97.415135135135131</v>
      </c>
      <c r="DK26" s="584">
        <f t="shared" si="148"/>
        <v>192.83597801707958</v>
      </c>
      <c r="DL26" s="584">
        <f t="shared" si="83"/>
        <v>193.05233823529414</v>
      </c>
      <c r="DM26" s="584">
        <f t="shared" si="149"/>
        <v>1</v>
      </c>
      <c r="DN26" s="609">
        <f t="shared" si="85"/>
        <v>5.25</v>
      </c>
    </row>
    <row r="27" spans="1:118" ht="13.5" thickBot="1" x14ac:dyDescent="0.25">
      <c r="A27">
        <v>19</v>
      </c>
      <c r="C27" s="499">
        <v>6</v>
      </c>
      <c r="D27" s="602" t="s">
        <v>41</v>
      </c>
      <c r="E27" s="713">
        <v>0.67900000000000016</v>
      </c>
      <c r="F27" s="603">
        <f t="shared" si="86"/>
        <v>76.166666666666671</v>
      </c>
      <c r="G27" s="603">
        <f t="shared" si="102"/>
        <v>59.770505473572527</v>
      </c>
      <c r="H27" s="603">
        <f t="shared" si="103"/>
        <v>2.2250694444444443</v>
      </c>
      <c r="I27" s="603">
        <f t="shared" si="104"/>
        <v>38.038000000000004</v>
      </c>
      <c r="J27" s="603">
        <f t="shared" si="105"/>
        <v>205.95357491801695</v>
      </c>
      <c r="K27" s="603">
        <f t="shared" si="106"/>
        <v>206.01166176470596</v>
      </c>
      <c r="L27" s="603">
        <f t="shared" si="107"/>
        <v>1</v>
      </c>
      <c r="M27" s="610">
        <f t="shared" si="89"/>
        <v>5.25</v>
      </c>
      <c r="N27" s="716">
        <v>0.7290000000000002</v>
      </c>
      <c r="O27" s="603">
        <f t="shared" si="90"/>
        <v>83.166666666666671</v>
      </c>
      <c r="P27" s="603">
        <f t="shared" si="108"/>
        <v>68.397085913387357</v>
      </c>
      <c r="Q27" s="603">
        <f t="shared" si="109"/>
        <v>2.777777777777779</v>
      </c>
      <c r="R27" s="603">
        <f t="shared" si="110"/>
        <v>43.624000000000009</v>
      </c>
      <c r="S27" s="603">
        <f t="shared" si="111"/>
        <v>220.71886369116515</v>
      </c>
      <c r="T27" s="603">
        <f t="shared" si="112"/>
        <v>220.72673529411773</v>
      </c>
      <c r="U27" s="603">
        <f t="shared" si="113"/>
        <v>1</v>
      </c>
      <c r="V27" s="610">
        <f t="shared" si="91"/>
        <v>5</v>
      </c>
      <c r="W27" s="719">
        <v>0.7200000000000002</v>
      </c>
      <c r="X27" s="603">
        <f t="shared" si="92"/>
        <v>81.833333333333329</v>
      </c>
      <c r="Y27" s="603">
        <f t="shared" si="114"/>
        <v>66.716235218942884</v>
      </c>
      <c r="Z27" s="603">
        <f t="shared" si="115"/>
        <v>2.6677777777777774</v>
      </c>
      <c r="AA27" s="603">
        <f t="shared" si="116"/>
        <v>42.559999999999995</v>
      </c>
      <c r="AB27" s="603">
        <f t="shared" si="117"/>
        <v>217.86401299672065</v>
      </c>
      <c r="AC27" s="603">
        <f t="shared" si="118"/>
        <v>218.09430147058828</v>
      </c>
      <c r="AD27" s="603">
        <f t="shared" si="119"/>
        <v>1</v>
      </c>
      <c r="AE27" s="610">
        <f t="shared" si="93"/>
        <v>5</v>
      </c>
      <c r="AF27" s="719">
        <v>0.69600000000000017</v>
      </c>
      <c r="AG27" s="603">
        <f t="shared" si="94"/>
        <v>78.5</v>
      </c>
      <c r="AH27" s="603">
        <f t="shared" si="120"/>
        <v>62.591710720486105</v>
      </c>
      <c r="AI27" s="603">
        <f t="shared" si="121"/>
        <v>2.4025000000000003</v>
      </c>
      <c r="AJ27" s="603">
        <f t="shared" si="122"/>
        <v>39.900000000000006</v>
      </c>
      <c r="AK27" s="603">
        <f t="shared" si="123"/>
        <v>210.81421072048613</v>
      </c>
      <c r="AL27" s="603">
        <f t="shared" si="124"/>
        <v>211.03953676470593</v>
      </c>
      <c r="AM27" s="603">
        <f t="shared" si="125"/>
        <v>1</v>
      </c>
      <c r="AN27" s="610">
        <f t="shared" si="95"/>
        <v>5.25</v>
      </c>
      <c r="AO27" s="719">
        <v>0.65400000000000014</v>
      </c>
      <c r="AP27" s="603">
        <f t="shared" si="96"/>
        <v>72.5</v>
      </c>
      <c r="AQ27" s="603">
        <f t="shared" si="126"/>
        <v>55.446934678819446</v>
      </c>
      <c r="AR27" s="603">
        <f t="shared" si="127"/>
        <v>1.9600000000000004</v>
      </c>
      <c r="AS27" s="603">
        <f t="shared" si="128"/>
        <v>35.112000000000002</v>
      </c>
      <c r="AT27" s="603">
        <f t="shared" si="129"/>
        <v>198.43893467881946</v>
      </c>
      <c r="AU27" s="603">
        <f t="shared" si="130"/>
        <v>198.57140441176472</v>
      </c>
      <c r="AV27" s="603">
        <f t="shared" si="131"/>
        <v>1</v>
      </c>
      <c r="AW27" s="610">
        <f t="shared" si="97"/>
        <v>5.5</v>
      </c>
      <c r="AX27" s="719">
        <v>0.73900000000000021</v>
      </c>
      <c r="AY27" s="603">
        <f t="shared" si="98"/>
        <v>84.5</v>
      </c>
      <c r="AZ27" s="603">
        <f t="shared" si="132"/>
        <v>70.095674262152784</v>
      </c>
      <c r="BA27" s="603">
        <f t="shared" si="133"/>
        <v>2.8900000000000006</v>
      </c>
      <c r="BB27" s="603">
        <f t="shared" si="134"/>
        <v>44.688000000000002</v>
      </c>
      <c r="BC27" s="603">
        <f t="shared" si="135"/>
        <v>223.59367426215277</v>
      </c>
      <c r="BD27" s="603">
        <f t="shared" si="136"/>
        <v>223.64327941176475</v>
      </c>
      <c r="BE27" s="603">
        <f t="shared" si="137"/>
        <v>1</v>
      </c>
      <c r="BF27" s="610">
        <f t="shared" si="99"/>
        <v>5</v>
      </c>
      <c r="BG27" s="719">
        <v>0.67300000000000004</v>
      </c>
      <c r="BH27" s="603">
        <f t="shared" si="33"/>
        <v>79.666666666666671</v>
      </c>
      <c r="BI27" s="603">
        <f t="shared" si="34"/>
        <v>45.057017264660495</v>
      </c>
      <c r="BJ27" s="603">
        <f t="shared" si="35"/>
        <v>2.2250694444444443</v>
      </c>
      <c r="BK27" s="603">
        <f t="shared" si="36"/>
        <v>38.038000000000004</v>
      </c>
      <c r="BL27" s="603">
        <f t="shared" si="37"/>
        <v>97.415135135135131</v>
      </c>
      <c r="BM27" s="603">
        <f t="shared" si="138"/>
        <v>182.73522184424007</v>
      </c>
      <c r="BN27" s="603">
        <f t="shared" si="38"/>
        <v>182.78458823529414</v>
      </c>
      <c r="BO27" s="603">
        <f t="shared" si="139"/>
        <v>1</v>
      </c>
      <c r="BP27" s="610">
        <f t="shared" si="40"/>
        <v>5.5</v>
      </c>
      <c r="BQ27" s="719">
        <v>0.71800000000000008</v>
      </c>
      <c r="BR27" s="603">
        <f t="shared" si="41"/>
        <v>86.666666666666671</v>
      </c>
      <c r="BS27" s="603">
        <f t="shared" si="42"/>
        <v>52.24104475308642</v>
      </c>
      <c r="BT27" s="603">
        <f t="shared" si="43"/>
        <v>2.777777777777779</v>
      </c>
      <c r="BU27" s="603">
        <f t="shared" si="44"/>
        <v>43.624000000000009</v>
      </c>
      <c r="BV27" s="603">
        <f t="shared" si="45"/>
        <v>97.415135135135131</v>
      </c>
      <c r="BW27" s="603">
        <f t="shared" si="140"/>
        <v>196.05795766599934</v>
      </c>
      <c r="BX27" s="603">
        <f t="shared" si="47"/>
        <v>196.35241911764706</v>
      </c>
      <c r="BY27" s="603">
        <f t="shared" si="141"/>
        <v>1</v>
      </c>
      <c r="BZ27" s="610">
        <f t="shared" si="49"/>
        <v>5</v>
      </c>
      <c r="CA27" s="719">
        <v>0.70900000000000007</v>
      </c>
      <c r="CB27" s="603">
        <f t="shared" si="50"/>
        <v>85.333333333333329</v>
      </c>
      <c r="CC27" s="603">
        <f t="shared" si="51"/>
        <v>50.834966049382714</v>
      </c>
      <c r="CD27" s="603">
        <f t="shared" si="52"/>
        <v>2.6677777777777774</v>
      </c>
      <c r="CE27" s="603">
        <f t="shared" si="53"/>
        <v>42.559999999999995</v>
      </c>
      <c r="CF27" s="603">
        <f t="shared" si="54"/>
        <v>97.415135135135131</v>
      </c>
      <c r="CG27" s="603">
        <f t="shared" si="142"/>
        <v>193.47787896229562</v>
      </c>
      <c r="CH27" s="603">
        <f t="shared" si="56"/>
        <v>193.65314705882358</v>
      </c>
      <c r="CI27" s="603">
        <f t="shared" si="143"/>
        <v>1</v>
      </c>
      <c r="CJ27" s="610">
        <f t="shared" si="58"/>
        <v>5</v>
      </c>
      <c r="CK27" s="719">
        <v>0.68800000000000006</v>
      </c>
      <c r="CL27" s="603">
        <f t="shared" si="59"/>
        <v>82</v>
      </c>
      <c r="CM27" s="603">
        <f t="shared" si="60"/>
        <v>47.397371527777779</v>
      </c>
      <c r="CN27" s="603">
        <f t="shared" si="61"/>
        <v>2.4025000000000003</v>
      </c>
      <c r="CO27" s="603">
        <f t="shared" si="62"/>
        <v>39.900000000000006</v>
      </c>
      <c r="CP27" s="603">
        <f t="shared" si="63"/>
        <v>97.415135135135131</v>
      </c>
      <c r="CQ27" s="603">
        <f t="shared" si="144"/>
        <v>187.11500666291292</v>
      </c>
      <c r="CR27" s="603">
        <f t="shared" si="65"/>
        <v>187.32705147058826</v>
      </c>
      <c r="CS27" s="603">
        <f t="shared" si="145"/>
        <v>1</v>
      </c>
      <c r="CT27" s="610">
        <f t="shared" si="67"/>
        <v>5.25</v>
      </c>
      <c r="CU27" s="719">
        <v>0.65100000000000002</v>
      </c>
      <c r="CV27" s="603">
        <f t="shared" si="68"/>
        <v>76</v>
      </c>
      <c r="CW27" s="603">
        <f t="shared" si="69"/>
        <v>41.489069444444439</v>
      </c>
      <c r="CX27" s="603">
        <f t="shared" si="70"/>
        <v>1.9600000000000004</v>
      </c>
      <c r="CY27" s="603">
        <f t="shared" si="71"/>
        <v>35.112000000000002</v>
      </c>
      <c r="CZ27" s="603">
        <f t="shared" si="72"/>
        <v>97.415135135135131</v>
      </c>
      <c r="DA27" s="603">
        <f t="shared" si="146"/>
        <v>175.97620457957959</v>
      </c>
      <c r="DB27" s="603">
        <f t="shared" si="74"/>
        <v>176.08639705882351</v>
      </c>
      <c r="DC27" s="603">
        <f t="shared" si="147"/>
        <v>1</v>
      </c>
      <c r="DD27" s="610">
        <f t="shared" si="76"/>
        <v>5.5</v>
      </c>
      <c r="DE27" s="719">
        <v>0.72600000000000009</v>
      </c>
      <c r="DF27" s="603">
        <f t="shared" si="77"/>
        <v>88</v>
      </c>
      <c r="DG27" s="603">
        <f t="shared" si="78"/>
        <v>53.664861111111094</v>
      </c>
      <c r="DH27" s="603">
        <f t="shared" si="79"/>
        <v>2.8900000000000006</v>
      </c>
      <c r="DI27" s="603">
        <f t="shared" si="80"/>
        <v>44.688000000000002</v>
      </c>
      <c r="DJ27" s="603">
        <f t="shared" si="81"/>
        <v>97.415135135135131</v>
      </c>
      <c r="DK27" s="603">
        <f t="shared" si="148"/>
        <v>198.65799624624623</v>
      </c>
      <c r="DL27" s="603">
        <f t="shared" si="83"/>
        <v>198.74577205882355</v>
      </c>
      <c r="DM27" s="603">
        <f t="shared" si="149"/>
        <v>1</v>
      </c>
      <c r="DN27" s="610">
        <f t="shared" si="85"/>
        <v>5</v>
      </c>
    </row>
    <row r="28" spans="1:118" x14ac:dyDescent="0.2">
      <c r="A28">
        <v>20</v>
      </c>
      <c r="C28" s="604">
        <v>1.5</v>
      </c>
      <c r="D28" s="605" t="s">
        <v>42</v>
      </c>
      <c r="E28" s="711">
        <v>0.42</v>
      </c>
      <c r="F28" s="599">
        <f t="shared" si="86"/>
        <v>22.166666666666664</v>
      </c>
      <c r="G28" s="599">
        <f t="shared" si="102"/>
        <v>9.6554273485725304</v>
      </c>
      <c r="H28" s="599">
        <f t="shared" si="103"/>
        <v>2.0069444444444431E-2</v>
      </c>
      <c r="I28" s="599">
        <f t="shared" si="104"/>
        <v>-5.054000000000002</v>
      </c>
      <c r="J28" s="599">
        <f>G28+H28+0+$D$54</f>
        <v>115.59549679301698</v>
      </c>
      <c r="K28" s="599">
        <f t="shared" si="106"/>
        <v>126.25680147058821</v>
      </c>
      <c r="L28" s="599">
        <f t="shared" si="107"/>
        <v>1</v>
      </c>
      <c r="M28" s="608">
        <f>INT(12*0.44/E28*4)/4</f>
        <v>12.5</v>
      </c>
      <c r="N28" s="714">
        <v>0.42</v>
      </c>
      <c r="O28" s="599">
        <f t="shared" si="90"/>
        <v>29.166666666666668</v>
      </c>
      <c r="P28" s="599">
        <f t="shared" si="108"/>
        <v>14.51053903838735</v>
      </c>
      <c r="Q28" s="599">
        <f t="shared" si="109"/>
        <v>0.10027777777777779</v>
      </c>
      <c r="R28" s="599">
        <f t="shared" si="110"/>
        <v>0.53200000000000103</v>
      </c>
      <c r="S28" s="599">
        <f t="shared" si="111"/>
        <v>121.06281681616514</v>
      </c>
      <c r="T28" s="599">
        <f t="shared" si="112"/>
        <v>126.25680147058821</v>
      </c>
      <c r="U28" s="599">
        <f t="shared" si="113"/>
        <v>1</v>
      </c>
      <c r="V28" s="608">
        <f>INT(12*0.44/N28*4)/4</f>
        <v>12.5</v>
      </c>
      <c r="W28" s="717">
        <v>0.42</v>
      </c>
      <c r="X28" s="599">
        <f t="shared" si="92"/>
        <v>27.833333333333332</v>
      </c>
      <c r="Y28" s="599">
        <f t="shared" si="114"/>
        <v>13.5480633439429</v>
      </c>
      <c r="Z28" s="599">
        <f t="shared" si="115"/>
        <v>8.0277777777777753E-2</v>
      </c>
      <c r="AA28" s="599">
        <f t="shared" si="116"/>
        <v>-0.53200000000000103</v>
      </c>
      <c r="AB28" s="599">
        <f t="shared" si="117"/>
        <v>119.01634112172067</v>
      </c>
      <c r="AC28" s="599">
        <f t="shared" si="118"/>
        <v>126.25680147058821</v>
      </c>
      <c r="AD28" s="599">
        <f t="shared" si="119"/>
        <v>1</v>
      </c>
      <c r="AE28" s="608">
        <f>INT(12*0.44/W28*4)/4</f>
        <v>12.5</v>
      </c>
      <c r="AF28" s="717">
        <v>0.42</v>
      </c>
      <c r="AG28" s="599">
        <f t="shared" si="94"/>
        <v>24.5</v>
      </c>
      <c r="AH28" s="599">
        <f t="shared" si="120"/>
        <v>11.219476345486111</v>
      </c>
      <c r="AI28" s="599">
        <f t="shared" si="121"/>
        <v>0.04</v>
      </c>
      <c r="AJ28" s="599">
        <f t="shared" si="122"/>
        <v>-3.1920000000000002</v>
      </c>
      <c r="AK28" s="599">
        <f t="shared" si="123"/>
        <v>113.98747634548612</v>
      </c>
      <c r="AL28" s="599">
        <f t="shared" si="124"/>
        <v>126.25680147058821</v>
      </c>
      <c r="AM28" s="599">
        <f t="shared" si="125"/>
        <v>1</v>
      </c>
      <c r="AN28" s="608">
        <f>INT(12*0.44/AF28*4)/4</f>
        <v>12.5</v>
      </c>
      <c r="AO28" s="717">
        <v>0.42</v>
      </c>
      <c r="AP28" s="599">
        <f t="shared" si="96"/>
        <v>18.5</v>
      </c>
      <c r="AQ28" s="599">
        <f t="shared" si="126"/>
        <v>7.3073878038194451</v>
      </c>
      <c r="AR28" s="599">
        <f t="shared" si="127"/>
        <v>2.5000000000000001E-3</v>
      </c>
      <c r="AS28" s="599">
        <f t="shared" si="128"/>
        <v>-7.98</v>
      </c>
      <c r="AT28" s="599">
        <f t="shared" si="129"/>
        <v>105.24988780381945</v>
      </c>
      <c r="AU28" s="599">
        <f t="shared" si="130"/>
        <v>126.25680147058821</v>
      </c>
      <c r="AV28" s="599">
        <f t="shared" si="131"/>
        <v>1</v>
      </c>
      <c r="AW28" s="608">
        <f>INT(12*0.44/AO28*4)/4</f>
        <v>12.5</v>
      </c>
      <c r="AX28" s="717">
        <v>0.42</v>
      </c>
      <c r="AY28" s="599">
        <f t="shared" si="98"/>
        <v>30.5</v>
      </c>
      <c r="AZ28" s="599">
        <f t="shared" si="132"/>
        <v>15.490752387152774</v>
      </c>
      <c r="BA28" s="599">
        <f t="shared" si="133"/>
        <v>0.12250000000000003</v>
      </c>
      <c r="BB28" s="599">
        <f t="shared" si="134"/>
        <v>1.5960000000000001</v>
      </c>
      <c r="BC28" s="599">
        <f t="shared" si="135"/>
        <v>123.12925238715277</v>
      </c>
      <c r="BD28" s="599">
        <f t="shared" si="136"/>
        <v>126.25680147058821</v>
      </c>
      <c r="BE28" s="599">
        <f t="shared" si="137"/>
        <v>1</v>
      </c>
      <c r="BF28" s="608">
        <f>INT(12*0.44/AX28*4)/4</f>
        <v>12.5</v>
      </c>
      <c r="BG28" s="717">
        <v>0.67900000000000005</v>
      </c>
      <c r="BH28" s="599">
        <f t="shared" si="33"/>
        <v>25.666666666666664</v>
      </c>
      <c r="BI28" s="599">
        <f t="shared" si="34"/>
        <v>6.0702047646604935</v>
      </c>
      <c r="BJ28" s="599">
        <f t="shared" si="35"/>
        <v>2.0069444444444431E-2</v>
      </c>
      <c r="BK28" s="599">
        <f t="shared" si="36"/>
        <v>-5.054000000000002</v>
      </c>
      <c r="BL28" s="599">
        <f t="shared" si="37"/>
        <v>183.27254237288136</v>
      </c>
      <c r="BM28" s="599">
        <f t="shared" si="138"/>
        <v>184.30881658198629</v>
      </c>
      <c r="BN28" s="599">
        <f t="shared" si="38"/>
        <v>184.60395588235298</v>
      </c>
      <c r="BO28" s="599">
        <f t="shared" si="139"/>
        <v>1</v>
      </c>
      <c r="BP28" s="608">
        <f t="shared" ref="BP28:BP46" si="150">INT(12*0.44/BG28*4)/4</f>
        <v>7.75</v>
      </c>
      <c r="BQ28" s="717">
        <v>0.70900000000000007</v>
      </c>
      <c r="BR28" s="599">
        <f t="shared" si="41"/>
        <v>32.666666666666664</v>
      </c>
      <c r="BS28" s="599">
        <f t="shared" si="42"/>
        <v>9.4827635030864155</v>
      </c>
      <c r="BT28" s="599">
        <f t="shared" si="43"/>
        <v>0.10027777777777772</v>
      </c>
      <c r="BU28" s="599">
        <f t="shared" si="44"/>
        <v>0.53199999999999814</v>
      </c>
      <c r="BV28" s="599">
        <f t="shared" si="45"/>
        <v>183.27254237288136</v>
      </c>
      <c r="BW28" s="599">
        <f t="shared" si="140"/>
        <v>193.38758365374557</v>
      </c>
      <c r="BX28" s="599">
        <f t="shared" si="47"/>
        <v>193.65314705882358</v>
      </c>
      <c r="BY28" s="599">
        <f t="shared" si="141"/>
        <v>1</v>
      </c>
      <c r="BZ28" s="608">
        <f t="shared" ref="BZ28:BZ46" si="151">INT(12*0.44/BQ28*4)/4</f>
        <v>7.25</v>
      </c>
      <c r="CA28" s="718">
        <v>0.70300000000000007</v>
      </c>
      <c r="CB28" s="599">
        <f t="shared" si="50"/>
        <v>31.333333333333332</v>
      </c>
      <c r="CC28" s="599">
        <f t="shared" si="51"/>
        <v>8.7950597993827166</v>
      </c>
      <c r="CD28" s="599">
        <f t="shared" si="52"/>
        <v>8.0277777777777753E-2</v>
      </c>
      <c r="CE28" s="599">
        <f t="shared" si="53"/>
        <v>-0.53200000000000103</v>
      </c>
      <c r="CF28" s="599">
        <f t="shared" si="54"/>
        <v>183.27254237288136</v>
      </c>
      <c r="CG28" s="599">
        <f t="shared" si="142"/>
        <v>191.61587995004186</v>
      </c>
      <c r="CH28" s="599">
        <f t="shared" si="56"/>
        <v>191.84966176470596</v>
      </c>
      <c r="CI28" s="599">
        <f t="shared" si="143"/>
        <v>1</v>
      </c>
      <c r="CJ28" s="608">
        <f t="shared" ref="CJ28:CJ46" si="152">INT(12*0.44/CA28*4)/4</f>
        <v>7.5</v>
      </c>
      <c r="CK28" s="717">
        <v>0.68800000000000006</v>
      </c>
      <c r="CL28" s="599">
        <f t="shared" si="59"/>
        <v>28</v>
      </c>
      <c r="CM28" s="599">
        <f t="shared" si="60"/>
        <v>7.153402777777778</v>
      </c>
      <c r="CN28" s="599">
        <f t="shared" si="61"/>
        <v>0.04</v>
      </c>
      <c r="CO28" s="599">
        <f t="shared" si="62"/>
        <v>-3.1920000000000002</v>
      </c>
      <c r="CP28" s="599">
        <f t="shared" si="63"/>
        <v>183.27254237288136</v>
      </c>
      <c r="CQ28" s="599">
        <f t="shared" si="144"/>
        <v>187.27394515065913</v>
      </c>
      <c r="CR28" s="599">
        <f t="shared" si="65"/>
        <v>187.32705147058826</v>
      </c>
      <c r="CS28" s="599">
        <f t="shared" si="145"/>
        <v>1</v>
      </c>
      <c r="CT28" s="608">
        <f t="shared" ref="CT28:CT46" si="153">INT(12*0.44/CK28*4)/4</f>
        <v>7.5</v>
      </c>
      <c r="CU28" s="717">
        <v>0.66400000000000003</v>
      </c>
      <c r="CV28" s="599">
        <f t="shared" si="68"/>
        <v>22</v>
      </c>
      <c r="CW28" s="599">
        <f t="shared" si="69"/>
        <v>4.477788194444444</v>
      </c>
      <c r="CX28" s="599">
        <f t="shared" si="70"/>
        <v>2.5000000000000001E-3</v>
      </c>
      <c r="CY28" s="599">
        <f t="shared" si="71"/>
        <v>-7.98</v>
      </c>
      <c r="CZ28" s="599">
        <f t="shared" si="72"/>
        <v>183.27254237288136</v>
      </c>
      <c r="DA28" s="599">
        <f t="shared" si="146"/>
        <v>179.7728305673258</v>
      </c>
      <c r="DB28" s="599">
        <f t="shared" si="74"/>
        <v>180.04958088235298</v>
      </c>
      <c r="DC28" s="599">
        <f t="shared" si="147"/>
        <v>1</v>
      </c>
      <c r="DD28" s="608">
        <f t="shared" ref="DD28:DD46" si="154">INT(12*0.44/CU28*4)/4</f>
        <v>7.75</v>
      </c>
      <c r="DE28" s="717">
        <v>0.71500000000000008</v>
      </c>
      <c r="DF28" s="599">
        <f t="shared" si="77"/>
        <v>34</v>
      </c>
      <c r="DG28" s="599">
        <f t="shared" si="78"/>
        <v>10.18820486111111</v>
      </c>
      <c r="DH28" s="599">
        <f t="shared" si="79"/>
        <v>0.12250000000000003</v>
      </c>
      <c r="DI28" s="599">
        <f t="shared" si="80"/>
        <v>1.5960000000000001</v>
      </c>
      <c r="DJ28" s="599">
        <f t="shared" si="81"/>
        <v>183.27254237288136</v>
      </c>
      <c r="DK28" s="599">
        <f t="shared" si="148"/>
        <v>195.17924723399247</v>
      </c>
      <c r="DL28" s="599">
        <f t="shared" si="83"/>
        <v>195.45345588235301</v>
      </c>
      <c r="DM28" s="599">
        <f t="shared" si="149"/>
        <v>1</v>
      </c>
      <c r="DN28" s="608">
        <f t="shared" ref="DN28:DN46" si="155">INT(12*0.44/DE28*4)/4</f>
        <v>7.25</v>
      </c>
    </row>
    <row r="29" spans="1:118" x14ac:dyDescent="0.2">
      <c r="A29">
        <v>21</v>
      </c>
      <c r="C29" s="497">
        <v>1.75</v>
      </c>
      <c r="D29" s="606" t="s">
        <v>42</v>
      </c>
      <c r="E29" s="711">
        <v>0.42</v>
      </c>
      <c r="F29" s="584">
        <f t="shared" si="86"/>
        <v>25.166666666666664</v>
      </c>
      <c r="G29" s="584">
        <f t="shared" si="102"/>
        <v>11.676324918016972</v>
      </c>
      <c r="H29" s="584">
        <f t="shared" si="103"/>
        <v>4.6944444444444414E-2</v>
      </c>
      <c r="I29" s="584">
        <f t="shared" si="104"/>
        <v>-2.6600000000000019</v>
      </c>
      <c r="J29" s="584">
        <f>G29+H29+0+$D$54</f>
        <v>117.64326936246141</v>
      </c>
      <c r="K29" s="584">
        <f t="shared" si="106"/>
        <v>126.25680147058821</v>
      </c>
      <c r="L29" s="584">
        <f t="shared" si="107"/>
        <v>1</v>
      </c>
      <c r="M29" s="609">
        <f t="shared" ref="M29:M46" si="156">INT(12*0.44/E29*4)/4</f>
        <v>12.5</v>
      </c>
      <c r="N29" s="715">
        <v>0.42</v>
      </c>
      <c r="O29" s="584">
        <f t="shared" si="90"/>
        <v>32.166666666666664</v>
      </c>
      <c r="P29" s="584">
        <f t="shared" si="108"/>
        <v>16.740962649498453</v>
      </c>
      <c r="Q29" s="584">
        <f t="shared" si="109"/>
        <v>0.15340277777777778</v>
      </c>
      <c r="R29" s="584">
        <f t="shared" si="110"/>
        <v>2.9259999999999984</v>
      </c>
      <c r="S29" s="584">
        <f t="shared" si="111"/>
        <v>125.74036542727623</v>
      </c>
      <c r="T29" s="584">
        <f t="shared" si="112"/>
        <v>126.25680147058821</v>
      </c>
      <c r="U29" s="584">
        <f t="shared" si="113"/>
        <v>1</v>
      </c>
      <c r="V29" s="609">
        <f t="shared" ref="V29:V46" si="157">INT(12*0.44/N29*4)/4</f>
        <v>12.5</v>
      </c>
      <c r="W29" s="718">
        <v>0.42</v>
      </c>
      <c r="X29" s="584">
        <f t="shared" si="92"/>
        <v>30.833333333333332</v>
      </c>
      <c r="Y29" s="584">
        <f t="shared" si="114"/>
        <v>15.738577232831791</v>
      </c>
      <c r="Z29" s="584">
        <f t="shared" si="115"/>
        <v>0.12840277777777775</v>
      </c>
      <c r="AA29" s="584">
        <f t="shared" si="116"/>
        <v>1.8619999999999992</v>
      </c>
      <c r="AB29" s="584">
        <f t="shared" si="117"/>
        <v>123.64898001060956</v>
      </c>
      <c r="AC29" s="584">
        <f t="shared" si="118"/>
        <v>126.25680147058821</v>
      </c>
      <c r="AD29" s="584">
        <f t="shared" si="119"/>
        <v>1</v>
      </c>
      <c r="AE29" s="609">
        <f t="shared" ref="AE29:AE46" si="158">INT(12*0.44/W29*4)/4</f>
        <v>12.5</v>
      </c>
      <c r="AF29" s="718">
        <v>0.42</v>
      </c>
      <c r="AG29" s="584">
        <f t="shared" si="94"/>
        <v>27.5</v>
      </c>
      <c r="AH29" s="584">
        <f t="shared" si="120"/>
        <v>13.310215928819444</v>
      </c>
      <c r="AI29" s="584">
        <f t="shared" si="121"/>
        <v>7.5624999999999984E-2</v>
      </c>
      <c r="AJ29" s="584">
        <f t="shared" si="122"/>
        <v>-0.79800000000000004</v>
      </c>
      <c r="AK29" s="584">
        <f t="shared" si="123"/>
        <v>118.50784092881945</v>
      </c>
      <c r="AL29" s="584">
        <f t="shared" si="124"/>
        <v>126.25680147058821</v>
      </c>
      <c r="AM29" s="584">
        <f t="shared" si="125"/>
        <v>1</v>
      </c>
      <c r="AN29" s="609">
        <f t="shared" ref="AN29:AN46" si="159">INT(12*0.44/AF29*4)/4</f>
        <v>12.5</v>
      </c>
      <c r="AO29" s="718">
        <v>0.42</v>
      </c>
      <c r="AP29" s="584">
        <f t="shared" si="96"/>
        <v>21.5</v>
      </c>
      <c r="AQ29" s="584">
        <f t="shared" si="126"/>
        <v>9.2185336371527775</v>
      </c>
      <c r="AR29" s="584">
        <f t="shared" si="127"/>
        <v>1.5625E-2</v>
      </c>
      <c r="AS29" s="584">
        <f t="shared" si="128"/>
        <v>-5.5860000000000003</v>
      </c>
      <c r="AT29" s="584">
        <f t="shared" si="129"/>
        <v>109.56815863715278</v>
      </c>
      <c r="AU29" s="584">
        <f t="shared" si="130"/>
        <v>126.25680147058821</v>
      </c>
      <c r="AV29" s="584">
        <f t="shared" si="131"/>
        <v>1</v>
      </c>
      <c r="AW29" s="609">
        <f t="shared" ref="AW29:AW46" si="160">INT(12*0.44/AO29*4)/4</f>
        <v>12.5</v>
      </c>
      <c r="AX29" s="718">
        <v>0.42499999999999999</v>
      </c>
      <c r="AY29" s="584">
        <f t="shared" si="98"/>
        <v>33.5</v>
      </c>
      <c r="AZ29" s="584">
        <f t="shared" si="132"/>
        <v>17.761085720486108</v>
      </c>
      <c r="BA29" s="584">
        <f t="shared" si="133"/>
        <v>0.18062500000000004</v>
      </c>
      <c r="BB29" s="584">
        <f t="shared" si="134"/>
        <v>3.99</v>
      </c>
      <c r="BC29" s="584">
        <f t="shared" si="135"/>
        <v>127.85171072048611</v>
      </c>
      <c r="BD29" s="584">
        <f t="shared" si="136"/>
        <v>127.85249999999999</v>
      </c>
      <c r="BE29" s="584">
        <f t="shared" si="137"/>
        <v>1</v>
      </c>
      <c r="BF29" s="609">
        <f t="shared" ref="BF29:BF46" si="161">INT(12*0.44/AX29*4)/4</f>
        <v>12.25</v>
      </c>
      <c r="BG29" s="717">
        <v>0.63600000000000001</v>
      </c>
      <c r="BH29" s="599">
        <f t="shared" si="33"/>
        <v>28.666666666666664</v>
      </c>
      <c r="BI29" s="599">
        <f t="shared" si="34"/>
        <v>7.4728653549382695</v>
      </c>
      <c r="BJ29" s="584">
        <f t="shared" si="35"/>
        <v>4.6944444444444414E-2</v>
      </c>
      <c r="BK29" s="584">
        <f t="shared" si="36"/>
        <v>-2.6600000000000019</v>
      </c>
      <c r="BL29" s="599">
        <f t="shared" si="37"/>
        <v>166.35507692307692</v>
      </c>
      <c r="BM29" s="584">
        <f t="shared" si="138"/>
        <v>171.21488672245962</v>
      </c>
      <c r="BN29" s="584">
        <f t="shared" si="38"/>
        <v>171.49496323529411</v>
      </c>
      <c r="BO29" s="584">
        <f t="shared" si="139"/>
        <v>1</v>
      </c>
      <c r="BP29" s="609">
        <f t="shared" si="150"/>
        <v>8.25</v>
      </c>
      <c r="BQ29" s="718">
        <v>0.66600000000000004</v>
      </c>
      <c r="BR29" s="599">
        <f t="shared" si="41"/>
        <v>35.666666666666664</v>
      </c>
      <c r="BS29" s="599">
        <f t="shared" si="42"/>
        <v>11.09495013503086</v>
      </c>
      <c r="BT29" s="584">
        <f t="shared" si="43"/>
        <v>0.15340277777777778</v>
      </c>
      <c r="BU29" s="584">
        <f t="shared" si="44"/>
        <v>2.9259999999999984</v>
      </c>
      <c r="BV29" s="599">
        <f t="shared" si="45"/>
        <v>166.35507692307692</v>
      </c>
      <c r="BW29" s="584">
        <f t="shared" si="140"/>
        <v>180.52942983588557</v>
      </c>
      <c r="BX29" s="584">
        <f t="shared" si="47"/>
        <v>180.65797794117645</v>
      </c>
      <c r="BY29" s="584">
        <f t="shared" si="141"/>
        <v>1</v>
      </c>
      <c r="BZ29" s="609">
        <f t="shared" si="151"/>
        <v>7.75</v>
      </c>
      <c r="CA29" s="718">
        <v>0.66</v>
      </c>
      <c r="CB29" s="599">
        <f t="shared" si="50"/>
        <v>34.333333333333336</v>
      </c>
      <c r="CC29" s="599">
        <f t="shared" si="51"/>
        <v>10.36733670910494</v>
      </c>
      <c r="CD29" s="584">
        <f t="shared" si="52"/>
        <v>0.12840277777777781</v>
      </c>
      <c r="CE29" s="584">
        <f t="shared" si="53"/>
        <v>1.8620000000000021</v>
      </c>
      <c r="CF29" s="599">
        <f t="shared" si="54"/>
        <v>166.35507692307692</v>
      </c>
      <c r="CG29" s="584">
        <f t="shared" si="142"/>
        <v>178.71281640995963</v>
      </c>
      <c r="CH29" s="584">
        <f t="shared" si="56"/>
        <v>178.83172794117647</v>
      </c>
      <c r="CI29" s="584">
        <f t="shared" si="143"/>
        <v>1</v>
      </c>
      <c r="CJ29" s="609">
        <f t="shared" si="152"/>
        <v>8</v>
      </c>
      <c r="CK29" s="717">
        <v>0.64600000000000002</v>
      </c>
      <c r="CL29" s="599">
        <f t="shared" si="59"/>
        <v>31</v>
      </c>
      <c r="CM29" s="599">
        <f t="shared" si="60"/>
        <v>8.6259053819444436</v>
      </c>
      <c r="CN29" s="584">
        <f t="shared" si="61"/>
        <v>7.5624999999999984E-2</v>
      </c>
      <c r="CO29" s="584">
        <f t="shared" si="62"/>
        <v>-0.79800000000000004</v>
      </c>
      <c r="CP29" s="599">
        <f t="shared" si="63"/>
        <v>166.35507692307692</v>
      </c>
      <c r="CQ29" s="584">
        <f t="shared" si="144"/>
        <v>174.25860730502137</v>
      </c>
      <c r="CR29" s="584">
        <f t="shared" si="65"/>
        <v>174.55812500000005</v>
      </c>
      <c r="CS29" s="584">
        <f t="shared" si="145"/>
        <v>1</v>
      </c>
      <c r="CT29" s="609">
        <f t="shared" si="153"/>
        <v>8</v>
      </c>
      <c r="CU29" s="718">
        <v>0.62</v>
      </c>
      <c r="CV29" s="599">
        <f t="shared" si="68"/>
        <v>25</v>
      </c>
      <c r="CW29" s="599">
        <f t="shared" si="69"/>
        <v>5.7706970486111118</v>
      </c>
      <c r="CX29" s="584">
        <f t="shared" si="70"/>
        <v>1.5625E-2</v>
      </c>
      <c r="CY29" s="584">
        <f t="shared" si="71"/>
        <v>-5.5860000000000003</v>
      </c>
      <c r="CZ29" s="599">
        <f t="shared" si="72"/>
        <v>166.35507692307692</v>
      </c>
      <c r="DA29" s="584">
        <f t="shared" si="146"/>
        <v>166.55539897168802</v>
      </c>
      <c r="DB29" s="584">
        <f t="shared" si="74"/>
        <v>166.57555147058827</v>
      </c>
      <c r="DC29" s="584">
        <f t="shared" si="147"/>
        <v>1</v>
      </c>
      <c r="DD29" s="609">
        <f t="shared" si="154"/>
        <v>8.5</v>
      </c>
      <c r="DE29" s="718">
        <v>0.67200000000000004</v>
      </c>
      <c r="DF29" s="599">
        <f t="shared" si="77"/>
        <v>37</v>
      </c>
      <c r="DG29" s="599">
        <f t="shared" si="78"/>
        <v>11.84030121527778</v>
      </c>
      <c r="DH29" s="584">
        <f t="shared" si="79"/>
        <v>0.18062500000000004</v>
      </c>
      <c r="DI29" s="584">
        <f t="shared" si="80"/>
        <v>3.99</v>
      </c>
      <c r="DJ29" s="599">
        <f t="shared" si="81"/>
        <v>166.35507692307692</v>
      </c>
      <c r="DK29" s="584">
        <f t="shared" si="148"/>
        <v>182.3660031383547</v>
      </c>
      <c r="DL29" s="584">
        <f t="shared" si="83"/>
        <v>182.48105147058823</v>
      </c>
      <c r="DM29" s="584">
        <f t="shared" si="149"/>
        <v>1</v>
      </c>
      <c r="DN29" s="609">
        <f t="shared" si="155"/>
        <v>7.75</v>
      </c>
    </row>
    <row r="30" spans="1:118" x14ac:dyDescent="0.2">
      <c r="A30">
        <v>22</v>
      </c>
      <c r="C30" s="497">
        <v>2</v>
      </c>
      <c r="D30" s="606" t="s">
        <v>42</v>
      </c>
      <c r="E30" s="711">
        <v>0.42</v>
      </c>
      <c r="F30" s="584">
        <f t="shared" si="86"/>
        <v>28.166666666666664</v>
      </c>
      <c r="G30" s="584">
        <f t="shared" si="102"/>
        <v>13.787019362461416</v>
      </c>
      <c r="H30" s="584">
        <f t="shared" si="103"/>
        <v>8.5069444444444392E-2</v>
      </c>
      <c r="I30" s="584">
        <f t="shared" si="104"/>
        <v>-0.2660000000000019</v>
      </c>
      <c r="J30" s="584">
        <f>G30+H30+0+$D$54</f>
        <v>119.79208880690587</v>
      </c>
      <c r="K30" s="584">
        <f t="shared" si="106"/>
        <v>126.25680147058821</v>
      </c>
      <c r="L30" s="584">
        <f t="shared" si="107"/>
        <v>1</v>
      </c>
      <c r="M30" s="609">
        <f t="shared" si="156"/>
        <v>12.5</v>
      </c>
      <c r="N30" s="715">
        <v>0.434</v>
      </c>
      <c r="O30" s="584">
        <f t="shared" si="90"/>
        <v>35.166666666666664</v>
      </c>
      <c r="P30" s="584">
        <f t="shared" si="108"/>
        <v>19.061183135609564</v>
      </c>
      <c r="Q30" s="584">
        <f t="shared" si="109"/>
        <v>0.21777777777777774</v>
      </c>
      <c r="R30" s="584">
        <f t="shared" si="110"/>
        <v>5.3199999999999985</v>
      </c>
      <c r="S30" s="584">
        <f t="shared" si="111"/>
        <v>130.51896091338733</v>
      </c>
      <c r="T30" s="584">
        <f t="shared" si="112"/>
        <v>130.71919852941176</v>
      </c>
      <c r="U30" s="584">
        <f t="shared" si="113"/>
        <v>1</v>
      </c>
      <c r="V30" s="609">
        <f t="shared" si="157"/>
        <v>12</v>
      </c>
      <c r="W30" s="718">
        <v>0.42699999999999999</v>
      </c>
      <c r="X30" s="584">
        <f t="shared" si="92"/>
        <v>33.833333333333336</v>
      </c>
      <c r="Y30" s="584">
        <f t="shared" si="114"/>
        <v>18.018887996720679</v>
      </c>
      <c r="Z30" s="584">
        <f t="shared" si="115"/>
        <v>0.18777777777777785</v>
      </c>
      <c r="AA30" s="584">
        <f t="shared" si="116"/>
        <v>4.256000000000002</v>
      </c>
      <c r="AB30" s="584">
        <f t="shared" si="117"/>
        <v>128.38266577449846</v>
      </c>
      <c r="AC30" s="584">
        <f t="shared" si="118"/>
        <v>128.49016176470587</v>
      </c>
      <c r="AD30" s="584">
        <f t="shared" si="119"/>
        <v>1</v>
      </c>
      <c r="AE30" s="609">
        <f t="shared" si="158"/>
        <v>12.25</v>
      </c>
      <c r="AF30" s="718">
        <v>0.42</v>
      </c>
      <c r="AG30" s="584">
        <f t="shared" si="94"/>
        <v>30.5</v>
      </c>
      <c r="AH30" s="584">
        <f t="shared" si="120"/>
        <v>15.490752387152774</v>
      </c>
      <c r="AI30" s="584">
        <f t="shared" si="121"/>
        <v>0.12250000000000003</v>
      </c>
      <c r="AJ30" s="584">
        <f t="shared" si="122"/>
        <v>1.5960000000000001</v>
      </c>
      <c r="AK30" s="584">
        <f t="shared" si="123"/>
        <v>123.12925238715277</v>
      </c>
      <c r="AL30" s="584">
        <f t="shared" si="124"/>
        <v>126.25680147058821</v>
      </c>
      <c r="AM30" s="584">
        <f t="shared" si="125"/>
        <v>1</v>
      </c>
      <c r="AN30" s="609">
        <f t="shared" si="159"/>
        <v>12.5</v>
      </c>
      <c r="AO30" s="718">
        <v>0.42</v>
      </c>
      <c r="AP30" s="584">
        <f t="shared" si="96"/>
        <v>24.5</v>
      </c>
      <c r="AQ30" s="584">
        <f t="shared" si="126"/>
        <v>11.219476345486111</v>
      </c>
      <c r="AR30" s="584">
        <f t="shared" si="127"/>
        <v>0.04</v>
      </c>
      <c r="AS30" s="584">
        <f t="shared" si="128"/>
        <v>-3.1920000000000002</v>
      </c>
      <c r="AT30" s="584">
        <f t="shared" si="129"/>
        <v>113.98747634548612</v>
      </c>
      <c r="AU30" s="584">
        <f t="shared" si="130"/>
        <v>126.25680147058821</v>
      </c>
      <c r="AV30" s="584">
        <f t="shared" si="131"/>
        <v>1</v>
      </c>
      <c r="AW30" s="609">
        <f t="shared" si="160"/>
        <v>12.5</v>
      </c>
      <c r="AX30" s="718">
        <v>0.441</v>
      </c>
      <c r="AY30" s="584">
        <f t="shared" si="98"/>
        <v>36.5</v>
      </c>
      <c r="AZ30" s="584">
        <f t="shared" si="132"/>
        <v>20.121215928819446</v>
      </c>
      <c r="BA30" s="584">
        <f t="shared" si="133"/>
        <v>0.25</v>
      </c>
      <c r="BB30" s="584">
        <f t="shared" si="134"/>
        <v>6.3840000000000003</v>
      </c>
      <c r="BC30" s="584">
        <f t="shared" si="135"/>
        <v>132.67521592881945</v>
      </c>
      <c r="BD30" s="584">
        <f t="shared" si="136"/>
        <v>132.94391176470589</v>
      </c>
      <c r="BE30" s="584">
        <f t="shared" si="137"/>
        <v>1</v>
      </c>
      <c r="BF30" s="609">
        <f t="shared" si="161"/>
        <v>11.75</v>
      </c>
      <c r="BG30" s="717">
        <v>0.60299999999999998</v>
      </c>
      <c r="BH30" s="599">
        <f t="shared" si="33"/>
        <v>31.666666666666664</v>
      </c>
      <c r="BI30" s="599">
        <f t="shared" si="34"/>
        <v>8.9653228202160484</v>
      </c>
      <c r="BJ30" s="584">
        <f t="shared" si="35"/>
        <v>8.5069444444444392E-2</v>
      </c>
      <c r="BK30" s="584">
        <f t="shared" si="36"/>
        <v>-0.2660000000000019</v>
      </c>
      <c r="BL30" s="599">
        <f t="shared" si="37"/>
        <v>152.29690140845071</v>
      </c>
      <c r="BM30" s="584">
        <f t="shared" si="138"/>
        <v>161.08129367311119</v>
      </c>
      <c r="BN30" s="584">
        <f t="shared" si="38"/>
        <v>161.32392647058822</v>
      </c>
      <c r="BO30" s="584">
        <f t="shared" si="139"/>
        <v>1</v>
      </c>
      <c r="BP30" s="609">
        <f t="shared" si="150"/>
        <v>8.75</v>
      </c>
      <c r="BQ30" s="718">
        <v>0.63400000000000001</v>
      </c>
      <c r="BR30" s="599">
        <f t="shared" si="41"/>
        <v>38.666666666666664</v>
      </c>
      <c r="BS30" s="599">
        <f t="shared" si="42"/>
        <v>12.796933641975306</v>
      </c>
      <c r="BT30" s="584">
        <f t="shared" si="43"/>
        <v>0.21777777777777774</v>
      </c>
      <c r="BU30" s="584">
        <f t="shared" si="44"/>
        <v>5.3199999999999985</v>
      </c>
      <c r="BV30" s="599">
        <f t="shared" si="45"/>
        <v>152.29690140845071</v>
      </c>
      <c r="BW30" s="584">
        <f t="shared" si="140"/>
        <v>170.6316128282038</v>
      </c>
      <c r="BX30" s="584">
        <f t="shared" si="47"/>
        <v>170.88127205882358</v>
      </c>
      <c r="BY30" s="584">
        <f t="shared" si="141"/>
        <v>1</v>
      </c>
      <c r="BZ30" s="609">
        <f t="shared" si="151"/>
        <v>8.25</v>
      </c>
      <c r="CA30" s="718">
        <v>0.628</v>
      </c>
      <c r="CB30" s="599">
        <f t="shared" si="50"/>
        <v>37.333333333333336</v>
      </c>
      <c r="CC30" s="599">
        <f t="shared" si="51"/>
        <v>12.029410493827161</v>
      </c>
      <c r="CD30" s="584">
        <f t="shared" si="52"/>
        <v>0.18777777777777785</v>
      </c>
      <c r="CE30" s="584">
        <f t="shared" si="53"/>
        <v>4.256000000000002</v>
      </c>
      <c r="CF30" s="599">
        <f t="shared" si="54"/>
        <v>152.29690140845071</v>
      </c>
      <c r="CG30" s="584">
        <f t="shared" si="142"/>
        <v>168.77008968005566</v>
      </c>
      <c r="CH30" s="584">
        <f t="shared" si="56"/>
        <v>169.03808088235297</v>
      </c>
      <c r="CI30" s="584">
        <f t="shared" si="143"/>
        <v>1</v>
      </c>
      <c r="CJ30" s="609">
        <f t="shared" si="152"/>
        <v>8.25</v>
      </c>
      <c r="CK30" s="717">
        <v>0.61299999999999999</v>
      </c>
      <c r="CL30" s="599">
        <f t="shared" si="59"/>
        <v>34</v>
      </c>
      <c r="CM30" s="599">
        <f t="shared" si="60"/>
        <v>10.18820486111111</v>
      </c>
      <c r="CN30" s="584">
        <f t="shared" si="61"/>
        <v>0.12250000000000003</v>
      </c>
      <c r="CO30" s="584">
        <f t="shared" si="62"/>
        <v>1.5960000000000001</v>
      </c>
      <c r="CP30" s="599">
        <f t="shared" si="63"/>
        <v>152.29690140845071</v>
      </c>
      <c r="CQ30" s="584">
        <f t="shared" si="144"/>
        <v>164.20360626956182</v>
      </c>
      <c r="CR30" s="584">
        <f t="shared" si="65"/>
        <v>164.41620588235293</v>
      </c>
      <c r="CS30" s="584">
        <f t="shared" si="145"/>
        <v>1</v>
      </c>
      <c r="CT30" s="609">
        <f t="shared" si="153"/>
        <v>8.5</v>
      </c>
      <c r="CU30" s="718">
        <v>0.58699999999999997</v>
      </c>
      <c r="CV30" s="599">
        <f t="shared" si="68"/>
        <v>28</v>
      </c>
      <c r="CW30" s="599">
        <f t="shared" si="69"/>
        <v>7.153402777777778</v>
      </c>
      <c r="CX30" s="584">
        <f t="shared" si="70"/>
        <v>0.04</v>
      </c>
      <c r="CY30" s="584">
        <f t="shared" si="71"/>
        <v>-3.1920000000000002</v>
      </c>
      <c r="CZ30" s="599">
        <f t="shared" si="72"/>
        <v>152.29690140845071</v>
      </c>
      <c r="DA30" s="584">
        <f t="shared" si="146"/>
        <v>156.29830418622848</v>
      </c>
      <c r="DB30" s="584">
        <f t="shared" si="74"/>
        <v>156.35792647058821</v>
      </c>
      <c r="DC30" s="584">
        <f t="shared" si="147"/>
        <v>1</v>
      </c>
      <c r="DD30" s="609">
        <f t="shared" si="154"/>
        <v>8.75</v>
      </c>
      <c r="DE30" s="718">
        <v>0.64</v>
      </c>
      <c r="DF30" s="599">
        <f t="shared" si="77"/>
        <v>40</v>
      </c>
      <c r="DG30" s="599">
        <f t="shared" si="78"/>
        <v>13.582194444444443</v>
      </c>
      <c r="DH30" s="584">
        <f t="shared" si="79"/>
        <v>0.25</v>
      </c>
      <c r="DI30" s="584">
        <f t="shared" si="80"/>
        <v>6.3840000000000003</v>
      </c>
      <c r="DJ30" s="599">
        <f t="shared" si="81"/>
        <v>152.29690140845071</v>
      </c>
      <c r="DK30" s="584">
        <f t="shared" si="148"/>
        <v>172.51309585289516</v>
      </c>
      <c r="DL30" s="584">
        <f t="shared" si="83"/>
        <v>172.72128676470587</v>
      </c>
      <c r="DM30" s="584">
        <f t="shared" si="149"/>
        <v>1</v>
      </c>
      <c r="DN30" s="609">
        <f t="shared" si="155"/>
        <v>8.25</v>
      </c>
    </row>
    <row r="31" spans="1:118" x14ac:dyDescent="0.2">
      <c r="A31">
        <v>23</v>
      </c>
      <c r="C31" s="497">
        <v>2.25</v>
      </c>
      <c r="D31" s="606" t="s">
        <v>42</v>
      </c>
      <c r="E31" s="711">
        <v>0.42</v>
      </c>
      <c r="F31" s="584">
        <f t="shared" si="86"/>
        <v>31.166666666666664</v>
      </c>
      <c r="G31" s="584">
        <f t="shared" si="102"/>
        <v>15.98751068190586</v>
      </c>
      <c r="H31" s="584">
        <f t="shared" si="103"/>
        <v>0.13444444444444442</v>
      </c>
      <c r="I31" s="584">
        <f t="shared" si="104"/>
        <v>2.1279999999999983</v>
      </c>
      <c r="J31" s="584">
        <f t="shared" si="105"/>
        <v>124.1699551263503</v>
      </c>
      <c r="K31" s="584">
        <f t="shared" si="106"/>
        <v>126.25680147058821</v>
      </c>
      <c r="L31" s="584">
        <f t="shared" si="107"/>
        <v>1</v>
      </c>
      <c r="M31" s="609">
        <f t="shared" si="156"/>
        <v>12.5</v>
      </c>
      <c r="N31" s="715">
        <v>0.44900000000000001</v>
      </c>
      <c r="O31" s="584">
        <f t="shared" si="90"/>
        <v>38.166666666666664</v>
      </c>
      <c r="P31" s="584">
        <f t="shared" si="108"/>
        <v>21.471200496720677</v>
      </c>
      <c r="Q31" s="584">
        <f t="shared" si="109"/>
        <v>0.29340277777777773</v>
      </c>
      <c r="R31" s="584">
        <f t="shared" si="110"/>
        <v>7.7139999999999986</v>
      </c>
      <c r="S31" s="584">
        <f t="shared" si="111"/>
        <v>135.39860327449844</v>
      </c>
      <c r="T31" s="584">
        <f t="shared" si="112"/>
        <v>135.48114705882352</v>
      </c>
      <c r="U31" s="584">
        <f t="shared" si="113"/>
        <v>1</v>
      </c>
      <c r="V31" s="609">
        <f t="shared" si="157"/>
        <v>11.75</v>
      </c>
      <c r="W31" s="718">
        <v>0.442</v>
      </c>
      <c r="X31" s="584">
        <f t="shared" si="92"/>
        <v>36.833333333333336</v>
      </c>
      <c r="Y31" s="584">
        <f t="shared" si="114"/>
        <v>20.388995635609572</v>
      </c>
      <c r="Z31" s="584">
        <f t="shared" si="115"/>
        <v>0.25840277777777781</v>
      </c>
      <c r="AA31" s="584">
        <f t="shared" si="116"/>
        <v>6.6500000000000021</v>
      </c>
      <c r="AB31" s="584">
        <f t="shared" si="117"/>
        <v>133.21739841338734</v>
      </c>
      <c r="AC31" s="584">
        <f t="shared" si="118"/>
        <v>133.26137499999999</v>
      </c>
      <c r="AD31" s="584">
        <f t="shared" si="119"/>
        <v>1</v>
      </c>
      <c r="AE31" s="609">
        <f t="shared" si="158"/>
        <v>11.75</v>
      </c>
      <c r="AF31" s="718">
        <v>0.42499999999999999</v>
      </c>
      <c r="AG31" s="584">
        <f t="shared" si="94"/>
        <v>33.5</v>
      </c>
      <c r="AH31" s="584">
        <f t="shared" si="120"/>
        <v>17.761085720486108</v>
      </c>
      <c r="AI31" s="584">
        <f t="shared" si="121"/>
        <v>0.18062500000000004</v>
      </c>
      <c r="AJ31" s="584">
        <f t="shared" si="122"/>
        <v>3.99</v>
      </c>
      <c r="AK31" s="584">
        <f t="shared" si="123"/>
        <v>127.85171072048611</v>
      </c>
      <c r="AL31" s="584">
        <f t="shared" si="124"/>
        <v>127.85249999999999</v>
      </c>
      <c r="AM31" s="584">
        <f t="shared" si="125"/>
        <v>1</v>
      </c>
      <c r="AN31" s="609">
        <f t="shared" si="159"/>
        <v>12.25</v>
      </c>
      <c r="AO31" s="718">
        <v>0.42</v>
      </c>
      <c r="AP31" s="584">
        <f t="shared" si="96"/>
        <v>27.5</v>
      </c>
      <c r="AQ31" s="584">
        <f t="shared" si="126"/>
        <v>13.310215928819444</v>
      </c>
      <c r="AR31" s="584">
        <f t="shared" si="127"/>
        <v>7.5624999999999984E-2</v>
      </c>
      <c r="AS31" s="584">
        <f t="shared" si="128"/>
        <v>-0.79800000000000004</v>
      </c>
      <c r="AT31" s="584">
        <f t="shared" si="129"/>
        <v>118.50784092881945</v>
      </c>
      <c r="AU31" s="584">
        <f t="shared" si="130"/>
        <v>126.25680147058821</v>
      </c>
      <c r="AV31" s="584">
        <f t="shared" si="131"/>
        <v>1</v>
      </c>
      <c r="AW31" s="609">
        <f t="shared" si="160"/>
        <v>12.5</v>
      </c>
      <c r="AX31" s="718">
        <v>0.45600000000000002</v>
      </c>
      <c r="AY31" s="584">
        <f t="shared" si="98"/>
        <v>39.5</v>
      </c>
      <c r="AZ31" s="584">
        <f t="shared" si="132"/>
        <v>22.571143012152774</v>
      </c>
      <c r="BA31" s="584">
        <f t="shared" si="133"/>
        <v>0.330625</v>
      </c>
      <c r="BB31" s="584">
        <f t="shared" si="134"/>
        <v>8.7780000000000005</v>
      </c>
      <c r="BC31" s="584">
        <f t="shared" si="135"/>
        <v>137.59976801215277</v>
      </c>
      <c r="BD31" s="584">
        <f t="shared" si="136"/>
        <v>137.69659558823531</v>
      </c>
      <c r="BE31" s="584">
        <f t="shared" si="137"/>
        <v>1</v>
      </c>
      <c r="BF31" s="609">
        <f t="shared" si="161"/>
        <v>11.5</v>
      </c>
      <c r="BG31" s="717">
        <v>0.57699999999999996</v>
      </c>
      <c r="BH31" s="599">
        <f t="shared" si="33"/>
        <v>34.666666666666664</v>
      </c>
      <c r="BI31" s="599">
        <f t="shared" si="34"/>
        <v>10.547577160493827</v>
      </c>
      <c r="BJ31" s="584">
        <f t="shared" si="35"/>
        <v>0.13444444444444442</v>
      </c>
      <c r="BK31" s="584">
        <f t="shared" si="36"/>
        <v>2.1279999999999983</v>
      </c>
      <c r="BL31" s="599">
        <f t="shared" si="37"/>
        <v>140.42961038961039</v>
      </c>
      <c r="BM31" s="584">
        <f t="shared" si="138"/>
        <v>153.23963199454866</v>
      </c>
      <c r="BN31" s="584">
        <f t="shared" si="38"/>
        <v>153.24270588235294</v>
      </c>
      <c r="BO31" s="584">
        <f t="shared" si="139"/>
        <v>1</v>
      </c>
      <c r="BP31" s="609">
        <f t="shared" si="150"/>
        <v>9</v>
      </c>
      <c r="BQ31" s="718">
        <v>0.60899999999999999</v>
      </c>
      <c r="BR31" s="599">
        <f t="shared" si="41"/>
        <v>41.666666666666664</v>
      </c>
      <c r="BS31" s="599">
        <f t="shared" si="42"/>
        <v>14.588714023919749</v>
      </c>
      <c r="BT31" s="584">
        <f t="shared" si="43"/>
        <v>0.29340277777777773</v>
      </c>
      <c r="BU31" s="584">
        <f t="shared" si="44"/>
        <v>7.7139999999999986</v>
      </c>
      <c r="BV31" s="599">
        <f t="shared" si="45"/>
        <v>140.42961038961039</v>
      </c>
      <c r="BW31" s="584">
        <f t="shared" si="140"/>
        <v>163.02572719130791</v>
      </c>
      <c r="BX31" s="584">
        <f t="shared" si="47"/>
        <v>163.18035294117647</v>
      </c>
      <c r="BY31" s="584">
        <f t="shared" si="141"/>
        <v>1</v>
      </c>
      <c r="BZ31" s="609">
        <f t="shared" si="151"/>
        <v>8.5</v>
      </c>
      <c r="CA31" s="718">
        <v>0.60299999999999998</v>
      </c>
      <c r="CB31" s="599">
        <f t="shared" si="50"/>
        <v>40.333333333333336</v>
      </c>
      <c r="CC31" s="599">
        <f t="shared" si="51"/>
        <v>13.781281153549385</v>
      </c>
      <c r="CD31" s="584">
        <f t="shared" si="52"/>
        <v>0.25840277777777781</v>
      </c>
      <c r="CE31" s="584">
        <f t="shared" si="53"/>
        <v>6.6500000000000021</v>
      </c>
      <c r="CF31" s="599">
        <f t="shared" si="54"/>
        <v>140.42961038961039</v>
      </c>
      <c r="CG31" s="584">
        <f t="shared" si="142"/>
        <v>161.11929432093757</v>
      </c>
      <c r="CH31" s="584">
        <f t="shared" si="56"/>
        <v>161.32392647058822</v>
      </c>
      <c r="CI31" s="584">
        <f t="shared" si="143"/>
        <v>1</v>
      </c>
      <c r="CJ31" s="609">
        <f t="shared" si="152"/>
        <v>8.75</v>
      </c>
      <c r="CK31" s="717">
        <v>0.58799999999999997</v>
      </c>
      <c r="CL31" s="599">
        <f t="shared" si="59"/>
        <v>37</v>
      </c>
      <c r="CM31" s="599">
        <f t="shared" si="60"/>
        <v>11.84030121527778</v>
      </c>
      <c r="CN31" s="584">
        <f t="shared" si="61"/>
        <v>0.18062500000000004</v>
      </c>
      <c r="CO31" s="584">
        <f t="shared" si="62"/>
        <v>3.99</v>
      </c>
      <c r="CP31" s="599">
        <f t="shared" si="63"/>
        <v>140.42961038961039</v>
      </c>
      <c r="CQ31" s="584">
        <f t="shared" si="144"/>
        <v>156.44053660488817</v>
      </c>
      <c r="CR31" s="584">
        <f t="shared" si="65"/>
        <v>156.66896323529409</v>
      </c>
      <c r="CS31" s="584">
        <f t="shared" si="145"/>
        <v>1</v>
      </c>
      <c r="CT31" s="609">
        <f t="shared" si="153"/>
        <v>8.75</v>
      </c>
      <c r="CU31" s="718">
        <v>0.56999999999999995</v>
      </c>
      <c r="CV31" s="599">
        <f t="shared" si="68"/>
        <v>31</v>
      </c>
      <c r="CW31" s="599">
        <f t="shared" si="69"/>
        <v>8.6259053819444436</v>
      </c>
      <c r="CX31" s="584">
        <f t="shared" si="70"/>
        <v>7.5624999999999984E-2</v>
      </c>
      <c r="CY31" s="584">
        <f t="shared" si="71"/>
        <v>-0.79800000000000004</v>
      </c>
      <c r="CZ31" s="599">
        <f t="shared" si="72"/>
        <v>140.42961038961039</v>
      </c>
      <c r="DA31" s="584">
        <f t="shared" si="146"/>
        <v>148.33314077155484</v>
      </c>
      <c r="DB31" s="584">
        <f t="shared" si="74"/>
        <v>151.0568014705882</v>
      </c>
      <c r="DC31" s="584">
        <f t="shared" si="147"/>
        <v>1</v>
      </c>
      <c r="DD31" s="609">
        <f t="shared" si="154"/>
        <v>9.25</v>
      </c>
      <c r="DE31" s="718">
        <v>0.61499999999999999</v>
      </c>
      <c r="DF31" s="599">
        <f t="shared" si="77"/>
        <v>43</v>
      </c>
      <c r="DG31" s="599">
        <f t="shared" si="78"/>
        <v>15.41388454861111</v>
      </c>
      <c r="DH31" s="584">
        <f t="shared" si="79"/>
        <v>0.330625</v>
      </c>
      <c r="DI31" s="584">
        <f t="shared" si="80"/>
        <v>8.7780000000000005</v>
      </c>
      <c r="DJ31" s="599">
        <f t="shared" si="81"/>
        <v>140.42961038961039</v>
      </c>
      <c r="DK31" s="584">
        <f t="shared" si="148"/>
        <v>164.9521199382215</v>
      </c>
      <c r="DL31" s="584">
        <f t="shared" si="83"/>
        <v>165.03360294117644</v>
      </c>
      <c r="DM31" s="584">
        <f t="shared" si="149"/>
        <v>1</v>
      </c>
      <c r="DN31" s="609">
        <f t="shared" si="155"/>
        <v>8.5</v>
      </c>
    </row>
    <row r="32" spans="1:118" x14ac:dyDescent="0.2">
      <c r="A32">
        <v>24</v>
      </c>
      <c r="C32" s="497">
        <v>2.5</v>
      </c>
      <c r="D32" s="606" t="s">
        <v>42</v>
      </c>
      <c r="E32" s="711">
        <v>0.42899999999999999</v>
      </c>
      <c r="F32" s="584">
        <f t="shared" si="86"/>
        <v>34.166666666666664</v>
      </c>
      <c r="G32" s="584">
        <f t="shared" si="102"/>
        <v>18.27779887635031</v>
      </c>
      <c r="H32" s="584">
        <f t="shared" si="103"/>
        <v>0.19506944444444441</v>
      </c>
      <c r="I32" s="584">
        <f t="shared" si="104"/>
        <v>4.5219999999999985</v>
      </c>
      <c r="J32" s="584">
        <f t="shared" si="105"/>
        <v>128.91486832079477</v>
      </c>
      <c r="K32" s="584">
        <f t="shared" si="106"/>
        <v>129.1274705882353</v>
      </c>
      <c r="L32" s="584">
        <f t="shared" si="107"/>
        <v>1</v>
      </c>
      <c r="M32" s="609">
        <f t="shared" si="156"/>
        <v>12.25</v>
      </c>
      <c r="N32" s="715">
        <v>0.46500000000000002</v>
      </c>
      <c r="O32" s="584">
        <f t="shared" si="90"/>
        <v>41.166666666666664</v>
      </c>
      <c r="P32" s="584">
        <f t="shared" si="108"/>
        <v>23.97101473283179</v>
      </c>
      <c r="Q32" s="584">
        <f t="shared" si="109"/>
        <v>0.3802777777777776</v>
      </c>
      <c r="R32" s="584">
        <f t="shared" si="110"/>
        <v>10.107999999999999</v>
      </c>
      <c r="S32" s="584">
        <f t="shared" si="111"/>
        <v>140.37929251060956</v>
      </c>
      <c r="T32" s="584">
        <f t="shared" si="112"/>
        <v>140.53867647058826</v>
      </c>
      <c r="U32" s="584">
        <f t="shared" si="113"/>
        <v>1</v>
      </c>
      <c r="V32" s="609">
        <f t="shared" si="157"/>
        <v>11.25</v>
      </c>
      <c r="W32" s="718">
        <v>0.45800000000000002</v>
      </c>
      <c r="X32" s="584">
        <f t="shared" si="92"/>
        <v>39.833333333333336</v>
      </c>
      <c r="Y32" s="584">
        <f t="shared" si="114"/>
        <v>22.848900149498455</v>
      </c>
      <c r="Z32" s="584">
        <f t="shared" si="115"/>
        <v>0.34027777777777785</v>
      </c>
      <c r="AA32" s="584">
        <f t="shared" si="116"/>
        <v>9.0440000000000023</v>
      </c>
      <c r="AB32" s="584">
        <f t="shared" si="117"/>
        <v>138.15317792727623</v>
      </c>
      <c r="AC32" s="584">
        <f t="shared" si="118"/>
        <v>138.32878676470588</v>
      </c>
      <c r="AD32" s="584">
        <f t="shared" si="119"/>
        <v>1</v>
      </c>
      <c r="AE32" s="609">
        <f t="shared" si="158"/>
        <v>11.5</v>
      </c>
      <c r="AF32" s="718">
        <v>0.441</v>
      </c>
      <c r="AG32" s="584">
        <f t="shared" si="94"/>
        <v>36.5</v>
      </c>
      <c r="AH32" s="584">
        <f t="shared" si="120"/>
        <v>20.121215928819446</v>
      </c>
      <c r="AI32" s="584">
        <f t="shared" si="121"/>
        <v>0.25</v>
      </c>
      <c r="AJ32" s="584">
        <f t="shared" si="122"/>
        <v>6.3840000000000003</v>
      </c>
      <c r="AK32" s="584">
        <f t="shared" si="123"/>
        <v>132.67521592881945</v>
      </c>
      <c r="AL32" s="584">
        <f t="shared" si="124"/>
        <v>132.94391176470589</v>
      </c>
      <c r="AM32" s="584">
        <f t="shared" si="125"/>
        <v>1</v>
      </c>
      <c r="AN32" s="609">
        <f t="shared" si="159"/>
        <v>11.75</v>
      </c>
      <c r="AO32" s="718">
        <v>0.42</v>
      </c>
      <c r="AP32" s="584">
        <f t="shared" si="96"/>
        <v>30.5</v>
      </c>
      <c r="AQ32" s="584">
        <f t="shared" si="126"/>
        <v>15.490752387152774</v>
      </c>
      <c r="AR32" s="584">
        <f t="shared" si="127"/>
        <v>0.12250000000000003</v>
      </c>
      <c r="AS32" s="584">
        <f t="shared" si="128"/>
        <v>1.5960000000000001</v>
      </c>
      <c r="AT32" s="584">
        <f t="shared" si="129"/>
        <v>123.12925238715277</v>
      </c>
      <c r="AU32" s="584">
        <f t="shared" si="130"/>
        <v>126.25680147058821</v>
      </c>
      <c r="AV32" s="584">
        <f t="shared" si="131"/>
        <v>1</v>
      </c>
      <c r="AW32" s="609">
        <f t="shared" si="160"/>
        <v>12.5</v>
      </c>
      <c r="AX32" s="718">
        <v>0.47200000000000003</v>
      </c>
      <c r="AY32" s="584">
        <f t="shared" si="98"/>
        <v>42.5</v>
      </c>
      <c r="AZ32" s="584">
        <f t="shared" si="132"/>
        <v>25.110866970486114</v>
      </c>
      <c r="BA32" s="584">
        <f t="shared" si="133"/>
        <v>0.42249999999999993</v>
      </c>
      <c r="BB32" s="584">
        <f t="shared" si="134"/>
        <v>11.172000000000001</v>
      </c>
      <c r="BC32" s="584">
        <f t="shared" si="135"/>
        <v>142.62536697048611</v>
      </c>
      <c r="BD32" s="584">
        <f t="shared" si="136"/>
        <v>142.74424264705885</v>
      </c>
      <c r="BE32" s="584">
        <f t="shared" si="137"/>
        <v>1</v>
      </c>
      <c r="BF32" s="609">
        <f t="shared" si="161"/>
        <v>11</v>
      </c>
      <c r="BG32" s="718">
        <v>0.56999999999999995</v>
      </c>
      <c r="BH32" s="599">
        <f t="shared" si="33"/>
        <v>37.666666666666664</v>
      </c>
      <c r="BI32" s="599">
        <f t="shared" si="34"/>
        <v>12.219628375771606</v>
      </c>
      <c r="BJ32" s="584">
        <f t="shared" si="35"/>
        <v>0.19506944444444441</v>
      </c>
      <c r="BK32" s="584">
        <f t="shared" si="36"/>
        <v>4.5219999999999985</v>
      </c>
      <c r="BL32" s="599">
        <f t="shared" si="37"/>
        <v>130.27807228915663</v>
      </c>
      <c r="BM32" s="584">
        <f t="shared" si="138"/>
        <v>147.21477010937267</v>
      </c>
      <c r="BN32" s="584">
        <f t="shared" si="38"/>
        <v>151.0568014705882</v>
      </c>
      <c r="BO32" s="584">
        <f t="shared" si="139"/>
        <v>1</v>
      </c>
      <c r="BP32" s="609">
        <f t="shared" si="150"/>
        <v>9.25</v>
      </c>
      <c r="BQ32" s="718">
        <v>0.59</v>
      </c>
      <c r="BR32" s="599">
        <f t="shared" si="41"/>
        <v>44.666666666666664</v>
      </c>
      <c r="BS32" s="599">
        <f t="shared" si="42"/>
        <v>16.470291280864195</v>
      </c>
      <c r="BT32" s="584">
        <f t="shared" si="43"/>
        <v>0.3802777777777776</v>
      </c>
      <c r="BU32" s="584">
        <f t="shared" si="44"/>
        <v>10.107999999999999</v>
      </c>
      <c r="BV32" s="599">
        <f t="shared" si="45"/>
        <v>130.27807228915663</v>
      </c>
      <c r="BW32" s="584">
        <f t="shared" si="140"/>
        <v>157.23664134779858</v>
      </c>
      <c r="BX32" s="584">
        <f t="shared" si="47"/>
        <v>157.29077205882353</v>
      </c>
      <c r="BY32" s="584">
        <f t="shared" si="141"/>
        <v>1</v>
      </c>
      <c r="BZ32" s="609">
        <f t="shared" si="151"/>
        <v>8.75</v>
      </c>
      <c r="CA32" s="718">
        <v>0.58399999999999996</v>
      </c>
      <c r="CB32" s="599">
        <f t="shared" si="50"/>
        <v>43.333333333333336</v>
      </c>
      <c r="CC32" s="599">
        <f t="shared" si="51"/>
        <v>15.622948688271606</v>
      </c>
      <c r="CD32" s="584">
        <f t="shared" si="52"/>
        <v>0.34027777777777785</v>
      </c>
      <c r="CE32" s="584">
        <f t="shared" si="53"/>
        <v>9.0440000000000023</v>
      </c>
      <c r="CF32" s="599">
        <f t="shared" si="54"/>
        <v>130.27807228915663</v>
      </c>
      <c r="CG32" s="584">
        <f t="shared" si="142"/>
        <v>155.28529875520601</v>
      </c>
      <c r="CH32" s="584">
        <f t="shared" si="56"/>
        <v>155.42428676470587</v>
      </c>
      <c r="CI32" s="584">
        <f t="shared" si="143"/>
        <v>1</v>
      </c>
      <c r="CJ32" s="609">
        <f t="shared" si="152"/>
        <v>9</v>
      </c>
      <c r="CK32" s="718">
        <v>0.56999999999999995</v>
      </c>
      <c r="CL32" s="599">
        <f t="shared" si="59"/>
        <v>40</v>
      </c>
      <c r="CM32" s="599">
        <f t="shared" si="60"/>
        <v>13.582194444444443</v>
      </c>
      <c r="CN32" s="584">
        <f t="shared" si="61"/>
        <v>0.25</v>
      </c>
      <c r="CO32" s="584">
        <f t="shared" si="62"/>
        <v>6.3840000000000003</v>
      </c>
      <c r="CP32" s="599">
        <f t="shared" si="63"/>
        <v>130.27807228915663</v>
      </c>
      <c r="CQ32" s="584">
        <f t="shared" si="144"/>
        <v>150.49426673360108</v>
      </c>
      <c r="CR32" s="584">
        <f t="shared" si="65"/>
        <v>151.0568014705882</v>
      </c>
      <c r="CS32" s="584">
        <f t="shared" si="145"/>
        <v>1</v>
      </c>
      <c r="CT32" s="609">
        <f t="shared" si="153"/>
        <v>9.25</v>
      </c>
      <c r="CU32" s="718">
        <v>0.56999999999999995</v>
      </c>
      <c r="CV32" s="599">
        <f t="shared" si="68"/>
        <v>34</v>
      </c>
      <c r="CW32" s="599">
        <f t="shared" si="69"/>
        <v>10.18820486111111</v>
      </c>
      <c r="CX32" s="584">
        <f t="shared" si="70"/>
        <v>0.12250000000000003</v>
      </c>
      <c r="CY32" s="584">
        <f t="shared" si="71"/>
        <v>1.5960000000000001</v>
      </c>
      <c r="CZ32" s="599">
        <f t="shared" si="72"/>
        <v>130.27807228915663</v>
      </c>
      <c r="DA32" s="584">
        <f t="shared" si="146"/>
        <v>142.18477715026773</v>
      </c>
      <c r="DB32" s="584">
        <f t="shared" si="74"/>
        <v>151.0568014705882</v>
      </c>
      <c r="DC32" s="584">
        <f t="shared" si="147"/>
        <v>1</v>
      </c>
      <c r="DD32" s="609">
        <f t="shared" si="154"/>
        <v>9.25</v>
      </c>
      <c r="DE32" s="718">
        <v>0.59699999999999998</v>
      </c>
      <c r="DF32" s="599">
        <f t="shared" si="77"/>
        <v>46</v>
      </c>
      <c r="DG32" s="599">
        <f t="shared" si="78"/>
        <v>17.335371527777777</v>
      </c>
      <c r="DH32" s="584">
        <f t="shared" si="79"/>
        <v>0.42249999999999993</v>
      </c>
      <c r="DI32" s="584">
        <f t="shared" si="80"/>
        <v>11.172000000000001</v>
      </c>
      <c r="DJ32" s="599">
        <f t="shared" si="81"/>
        <v>130.27807228915663</v>
      </c>
      <c r="DK32" s="584">
        <f t="shared" si="148"/>
        <v>159.2079438169344</v>
      </c>
      <c r="DL32" s="584">
        <f t="shared" si="83"/>
        <v>159.46432352941176</v>
      </c>
      <c r="DM32" s="584">
        <f t="shared" si="149"/>
        <v>1</v>
      </c>
      <c r="DN32" s="609">
        <f t="shared" si="155"/>
        <v>8.75</v>
      </c>
    </row>
    <row r="33" spans="1:118" x14ac:dyDescent="0.2">
      <c r="A33">
        <v>25</v>
      </c>
      <c r="C33" s="497">
        <v>2.75</v>
      </c>
      <c r="D33" s="606" t="s">
        <v>42</v>
      </c>
      <c r="E33" s="711">
        <v>0.44400000000000001</v>
      </c>
      <c r="F33" s="584">
        <f t="shared" si="86"/>
        <v>37.166666666666664</v>
      </c>
      <c r="G33" s="584">
        <f t="shared" si="102"/>
        <v>20.657883945794751</v>
      </c>
      <c r="H33" s="584">
        <f t="shared" si="103"/>
        <v>0.26694444444444443</v>
      </c>
      <c r="I33" s="584">
        <f t="shared" si="104"/>
        <v>6.9159999999999986</v>
      </c>
      <c r="J33" s="584">
        <f t="shared" si="105"/>
        <v>133.7608283902392</v>
      </c>
      <c r="K33" s="584">
        <f t="shared" si="106"/>
        <v>133.89603676470588</v>
      </c>
      <c r="L33" s="584">
        <f t="shared" si="107"/>
        <v>1</v>
      </c>
      <c r="M33" s="609">
        <f t="shared" si="156"/>
        <v>11.75</v>
      </c>
      <c r="N33" s="715">
        <v>0.48100000000000004</v>
      </c>
      <c r="O33" s="584">
        <f t="shared" si="90"/>
        <v>44.166666666666664</v>
      </c>
      <c r="P33" s="584">
        <f t="shared" si="108"/>
        <v>26.560625843942898</v>
      </c>
      <c r="Q33" s="584">
        <f t="shared" si="109"/>
        <v>0.47840277777777762</v>
      </c>
      <c r="R33" s="584">
        <f t="shared" si="110"/>
        <v>12.501999999999999</v>
      </c>
      <c r="S33" s="584">
        <f t="shared" si="111"/>
        <v>145.46102862172069</v>
      </c>
      <c r="T33" s="584">
        <f t="shared" si="112"/>
        <v>145.57361764705885</v>
      </c>
      <c r="U33" s="584">
        <f t="shared" si="113"/>
        <v>1</v>
      </c>
      <c r="V33" s="609">
        <f t="shared" si="157"/>
        <v>10.75</v>
      </c>
      <c r="W33" s="718">
        <v>0.47400000000000003</v>
      </c>
      <c r="X33" s="584">
        <f t="shared" si="92"/>
        <v>42.833333333333336</v>
      </c>
      <c r="Y33" s="584">
        <f t="shared" si="114"/>
        <v>25.398601538387343</v>
      </c>
      <c r="Z33" s="584">
        <f t="shared" si="115"/>
        <v>0.43340277777777786</v>
      </c>
      <c r="AA33" s="584">
        <f t="shared" si="116"/>
        <v>11.438000000000002</v>
      </c>
      <c r="AB33" s="584">
        <f t="shared" si="117"/>
        <v>143.19000431616513</v>
      </c>
      <c r="AC33" s="584">
        <f t="shared" si="118"/>
        <v>143.37361029411767</v>
      </c>
      <c r="AD33" s="584">
        <f t="shared" si="119"/>
        <v>1</v>
      </c>
      <c r="AE33" s="609">
        <f t="shared" si="158"/>
        <v>11</v>
      </c>
      <c r="AF33" s="718">
        <v>0.45600000000000002</v>
      </c>
      <c r="AG33" s="584">
        <f t="shared" si="94"/>
        <v>39.5</v>
      </c>
      <c r="AH33" s="584">
        <f t="shared" si="120"/>
        <v>22.571143012152774</v>
      </c>
      <c r="AI33" s="584">
        <f t="shared" si="121"/>
        <v>0.330625</v>
      </c>
      <c r="AJ33" s="584">
        <f t="shared" si="122"/>
        <v>8.7780000000000005</v>
      </c>
      <c r="AK33" s="584">
        <f t="shared" si="123"/>
        <v>137.59976801215277</v>
      </c>
      <c r="AL33" s="584">
        <f t="shared" si="124"/>
        <v>137.69659558823531</v>
      </c>
      <c r="AM33" s="584">
        <f t="shared" si="125"/>
        <v>1</v>
      </c>
      <c r="AN33" s="609">
        <f t="shared" si="159"/>
        <v>11.5</v>
      </c>
      <c r="AO33" s="718">
        <v>0.42499999999999999</v>
      </c>
      <c r="AP33" s="584">
        <f t="shared" si="96"/>
        <v>33.5</v>
      </c>
      <c r="AQ33" s="584">
        <f t="shared" si="126"/>
        <v>17.761085720486108</v>
      </c>
      <c r="AR33" s="584">
        <f t="shared" si="127"/>
        <v>0.18062500000000004</v>
      </c>
      <c r="AS33" s="584">
        <f t="shared" si="128"/>
        <v>3.99</v>
      </c>
      <c r="AT33" s="584">
        <f t="shared" si="129"/>
        <v>127.85171072048611</v>
      </c>
      <c r="AU33" s="584">
        <f t="shared" si="130"/>
        <v>127.85249999999999</v>
      </c>
      <c r="AV33" s="584">
        <f t="shared" si="131"/>
        <v>1</v>
      </c>
      <c r="AW33" s="609">
        <f t="shared" si="160"/>
        <v>12.25</v>
      </c>
      <c r="AX33" s="718">
        <v>0.48800000000000004</v>
      </c>
      <c r="AY33" s="584">
        <f t="shared" si="98"/>
        <v>45.5</v>
      </c>
      <c r="AZ33" s="584">
        <f t="shared" si="132"/>
        <v>27.740387803819445</v>
      </c>
      <c r="BA33" s="584">
        <f t="shared" si="133"/>
        <v>0.52562500000000001</v>
      </c>
      <c r="BB33" s="584">
        <f t="shared" si="134"/>
        <v>13.566000000000001</v>
      </c>
      <c r="BC33" s="584">
        <f t="shared" si="135"/>
        <v>147.75201280381944</v>
      </c>
      <c r="BD33" s="584">
        <f t="shared" si="136"/>
        <v>147.76930147058823</v>
      </c>
      <c r="BE33" s="584">
        <f t="shared" si="137"/>
        <v>1</v>
      </c>
      <c r="BF33" s="609">
        <f t="shared" si="161"/>
        <v>10.75</v>
      </c>
      <c r="BG33" s="718">
        <v>0.56999999999999995</v>
      </c>
      <c r="BH33" s="599">
        <f t="shared" si="33"/>
        <v>40.666666666666664</v>
      </c>
      <c r="BI33" s="599">
        <f t="shared" si="34"/>
        <v>13.981476466049383</v>
      </c>
      <c r="BJ33" s="584">
        <f t="shared" si="35"/>
        <v>0.26694444444444443</v>
      </c>
      <c r="BK33" s="584">
        <f t="shared" si="36"/>
        <v>6.9159999999999986</v>
      </c>
      <c r="BL33" s="599">
        <f t="shared" si="37"/>
        <v>121.4952808988764</v>
      </c>
      <c r="BM33" s="584">
        <f t="shared" si="138"/>
        <v>142.65970180937023</v>
      </c>
      <c r="BN33" s="584">
        <f t="shared" si="38"/>
        <v>151.0568014705882</v>
      </c>
      <c r="BO33" s="584">
        <f t="shared" si="139"/>
        <v>1</v>
      </c>
      <c r="BP33" s="609">
        <f t="shared" si="150"/>
        <v>9.25</v>
      </c>
      <c r="BQ33" s="718">
        <v>0.57599999999999996</v>
      </c>
      <c r="BR33" s="599">
        <f t="shared" si="41"/>
        <v>47.666666666666664</v>
      </c>
      <c r="BS33" s="599">
        <f t="shared" si="42"/>
        <v>18.441665412808639</v>
      </c>
      <c r="BT33" s="584">
        <f t="shared" si="43"/>
        <v>0.47840277777777762</v>
      </c>
      <c r="BU33" s="584">
        <f t="shared" si="44"/>
        <v>12.501999999999999</v>
      </c>
      <c r="BV33" s="599">
        <f t="shared" si="45"/>
        <v>121.4952808988764</v>
      </c>
      <c r="BW33" s="584">
        <f t="shared" si="140"/>
        <v>152.91734908946282</v>
      </c>
      <c r="BX33" s="584">
        <f t="shared" si="47"/>
        <v>152.93069852941173</v>
      </c>
      <c r="BY33" s="584">
        <f t="shared" si="141"/>
        <v>1</v>
      </c>
      <c r="BZ33" s="609">
        <f t="shared" si="151"/>
        <v>9</v>
      </c>
      <c r="CA33" s="718">
        <v>0.56999999999999995</v>
      </c>
      <c r="CB33" s="599">
        <f t="shared" si="50"/>
        <v>46.333333333333336</v>
      </c>
      <c r="CC33" s="599">
        <f t="shared" si="51"/>
        <v>17.55441309799383</v>
      </c>
      <c r="CD33" s="584">
        <f t="shared" si="52"/>
        <v>0.43340277777777786</v>
      </c>
      <c r="CE33" s="584">
        <f t="shared" si="53"/>
        <v>11.438000000000002</v>
      </c>
      <c r="CF33" s="599">
        <f t="shared" si="54"/>
        <v>121.4952808988764</v>
      </c>
      <c r="CG33" s="584">
        <f t="shared" si="142"/>
        <v>150.92109677464802</v>
      </c>
      <c r="CH33" s="584">
        <f t="shared" si="56"/>
        <v>151.0568014705882</v>
      </c>
      <c r="CI33" s="584">
        <f t="shared" si="143"/>
        <v>1</v>
      </c>
      <c r="CJ33" s="609">
        <f t="shared" si="152"/>
        <v>9.25</v>
      </c>
      <c r="CK33" s="718">
        <v>0.56999999999999995</v>
      </c>
      <c r="CL33" s="599">
        <f t="shared" si="59"/>
        <v>43</v>
      </c>
      <c r="CM33" s="599">
        <f t="shared" si="60"/>
        <v>15.41388454861111</v>
      </c>
      <c r="CN33" s="584">
        <f t="shared" si="61"/>
        <v>0.330625</v>
      </c>
      <c r="CO33" s="584">
        <f t="shared" si="62"/>
        <v>8.7780000000000005</v>
      </c>
      <c r="CP33" s="599">
        <f t="shared" si="63"/>
        <v>121.4952808988764</v>
      </c>
      <c r="CQ33" s="584">
        <f t="shared" si="144"/>
        <v>146.01779044748753</v>
      </c>
      <c r="CR33" s="584">
        <f t="shared" si="65"/>
        <v>151.0568014705882</v>
      </c>
      <c r="CS33" s="584">
        <f t="shared" si="145"/>
        <v>1</v>
      </c>
      <c r="CT33" s="609">
        <f t="shared" si="153"/>
        <v>9.25</v>
      </c>
      <c r="CU33" s="718">
        <v>0.56999999999999995</v>
      </c>
      <c r="CV33" s="599">
        <f t="shared" si="68"/>
        <v>37</v>
      </c>
      <c r="CW33" s="599">
        <f t="shared" si="69"/>
        <v>11.84030121527778</v>
      </c>
      <c r="CX33" s="584">
        <f t="shared" si="70"/>
        <v>0.18062500000000004</v>
      </c>
      <c r="CY33" s="584">
        <f t="shared" si="71"/>
        <v>3.99</v>
      </c>
      <c r="CZ33" s="599">
        <f t="shared" si="72"/>
        <v>121.4952808988764</v>
      </c>
      <c r="DA33" s="584">
        <f t="shared" si="146"/>
        <v>137.50620711415417</v>
      </c>
      <c r="DB33" s="584">
        <f t="shared" si="74"/>
        <v>151.0568014705882</v>
      </c>
      <c r="DC33" s="584">
        <f t="shared" si="147"/>
        <v>1</v>
      </c>
      <c r="DD33" s="609">
        <f t="shared" si="154"/>
        <v>9.25</v>
      </c>
      <c r="DE33" s="718">
        <v>0.58299999999999996</v>
      </c>
      <c r="DF33" s="599">
        <f t="shared" si="77"/>
        <v>49</v>
      </c>
      <c r="DG33" s="599">
        <f t="shared" si="78"/>
        <v>19.346655381944441</v>
      </c>
      <c r="DH33" s="584">
        <f t="shared" si="79"/>
        <v>0.52562500000000001</v>
      </c>
      <c r="DI33" s="584">
        <f t="shared" si="80"/>
        <v>13.566000000000001</v>
      </c>
      <c r="DJ33" s="599">
        <f t="shared" si="81"/>
        <v>121.4952808988764</v>
      </c>
      <c r="DK33" s="584">
        <f t="shared" si="148"/>
        <v>154.93356128082084</v>
      </c>
      <c r="DL33" s="584">
        <f t="shared" si="83"/>
        <v>155.11289705882353</v>
      </c>
      <c r="DM33" s="584">
        <f t="shared" si="149"/>
        <v>1</v>
      </c>
      <c r="DN33" s="609">
        <f t="shared" si="155"/>
        <v>9</v>
      </c>
    </row>
    <row r="34" spans="1:118" x14ac:dyDescent="0.2">
      <c r="A34">
        <v>26</v>
      </c>
      <c r="C34" s="497">
        <v>3</v>
      </c>
      <c r="D34" s="606" t="s">
        <v>42</v>
      </c>
      <c r="E34" s="712">
        <v>0.46</v>
      </c>
      <c r="F34" s="584">
        <f t="shared" si="86"/>
        <v>40.166666666666664</v>
      </c>
      <c r="G34" s="584">
        <f t="shared" si="102"/>
        <v>23.127765890239193</v>
      </c>
      <c r="H34" s="584">
        <f t="shared" si="103"/>
        <v>0.35006944444444443</v>
      </c>
      <c r="I34" s="584">
        <f t="shared" si="104"/>
        <v>9.3099999999999987</v>
      </c>
      <c r="J34" s="584">
        <f t="shared" si="105"/>
        <v>138.70783533468364</v>
      </c>
      <c r="K34" s="584">
        <f t="shared" si="106"/>
        <v>138.96062500000002</v>
      </c>
      <c r="L34" s="584">
        <f t="shared" si="107"/>
        <v>1</v>
      </c>
      <c r="M34" s="609">
        <f t="shared" si="156"/>
        <v>11.25</v>
      </c>
      <c r="N34" s="715">
        <v>0.49800000000000005</v>
      </c>
      <c r="O34" s="584">
        <f t="shared" si="90"/>
        <v>47.166666666666664</v>
      </c>
      <c r="P34" s="584">
        <f t="shared" si="108"/>
        <v>29.24003383005401</v>
      </c>
      <c r="Q34" s="584">
        <f t="shared" si="109"/>
        <v>0.58777777777777773</v>
      </c>
      <c r="R34" s="584">
        <f t="shared" si="110"/>
        <v>14.895999999999999</v>
      </c>
      <c r="S34" s="584">
        <f t="shared" si="111"/>
        <v>150.64381160783179</v>
      </c>
      <c r="T34" s="584">
        <f t="shared" si="112"/>
        <v>150.89849264705884</v>
      </c>
      <c r="U34" s="584">
        <f t="shared" si="113"/>
        <v>1</v>
      </c>
      <c r="V34" s="609">
        <f t="shared" si="157"/>
        <v>10.5</v>
      </c>
      <c r="W34" s="718">
        <v>0.49000000000000005</v>
      </c>
      <c r="X34" s="584">
        <f t="shared" si="92"/>
        <v>45.833333333333336</v>
      </c>
      <c r="Y34" s="584">
        <f t="shared" si="114"/>
        <v>28.038099802276236</v>
      </c>
      <c r="Z34" s="584">
        <f t="shared" si="115"/>
        <v>0.53777777777777791</v>
      </c>
      <c r="AA34" s="584">
        <f t="shared" si="116"/>
        <v>13.832000000000003</v>
      </c>
      <c r="AB34" s="584">
        <f t="shared" si="117"/>
        <v>148.32787758005401</v>
      </c>
      <c r="AC34" s="584">
        <f t="shared" si="118"/>
        <v>148.39584558823532</v>
      </c>
      <c r="AD34" s="584">
        <f t="shared" si="119"/>
        <v>1</v>
      </c>
      <c r="AE34" s="609">
        <f t="shared" si="158"/>
        <v>10.75</v>
      </c>
      <c r="AF34" s="718">
        <v>0.47200000000000003</v>
      </c>
      <c r="AG34" s="584">
        <f t="shared" si="94"/>
        <v>42.5</v>
      </c>
      <c r="AH34" s="584">
        <f t="shared" si="120"/>
        <v>25.110866970486114</v>
      </c>
      <c r="AI34" s="584">
        <f t="shared" si="121"/>
        <v>0.42249999999999993</v>
      </c>
      <c r="AJ34" s="584">
        <f t="shared" si="122"/>
        <v>11.172000000000001</v>
      </c>
      <c r="AK34" s="584">
        <f t="shared" si="123"/>
        <v>142.62536697048611</v>
      </c>
      <c r="AL34" s="584">
        <f t="shared" si="124"/>
        <v>142.74424264705885</v>
      </c>
      <c r="AM34" s="584">
        <f t="shared" si="125"/>
        <v>1</v>
      </c>
      <c r="AN34" s="609">
        <f t="shared" si="159"/>
        <v>11</v>
      </c>
      <c r="AO34" s="718">
        <v>0.441</v>
      </c>
      <c r="AP34" s="584">
        <f t="shared" si="96"/>
        <v>36.5</v>
      </c>
      <c r="AQ34" s="584">
        <f t="shared" si="126"/>
        <v>20.121215928819446</v>
      </c>
      <c r="AR34" s="584">
        <f t="shared" si="127"/>
        <v>0.25</v>
      </c>
      <c r="AS34" s="584">
        <f t="shared" si="128"/>
        <v>6.3840000000000003</v>
      </c>
      <c r="AT34" s="584">
        <f t="shared" si="129"/>
        <v>132.67521592881945</v>
      </c>
      <c r="AU34" s="584">
        <f t="shared" si="130"/>
        <v>132.94391176470589</v>
      </c>
      <c r="AV34" s="584">
        <f t="shared" si="131"/>
        <v>1</v>
      </c>
      <c r="AW34" s="609">
        <f t="shared" si="160"/>
        <v>11.75</v>
      </c>
      <c r="AX34" s="718">
        <v>0.505</v>
      </c>
      <c r="AY34" s="584">
        <f t="shared" si="98"/>
        <v>48.5</v>
      </c>
      <c r="AZ34" s="584">
        <f t="shared" si="132"/>
        <v>30.459705512152773</v>
      </c>
      <c r="BA34" s="584">
        <f t="shared" si="133"/>
        <v>0.64</v>
      </c>
      <c r="BB34" s="584">
        <f t="shared" si="134"/>
        <v>15.96</v>
      </c>
      <c r="BC34" s="584">
        <f t="shared" si="135"/>
        <v>152.97970551215278</v>
      </c>
      <c r="BD34" s="584">
        <f t="shared" si="136"/>
        <v>153.08367647058822</v>
      </c>
      <c r="BE34" s="584">
        <f t="shared" si="137"/>
        <v>1</v>
      </c>
      <c r="BF34" s="609">
        <f t="shared" si="161"/>
        <v>10.25</v>
      </c>
      <c r="BG34" s="718">
        <v>0.56999999999999995</v>
      </c>
      <c r="BH34" s="599">
        <f t="shared" si="33"/>
        <v>43.666666666666664</v>
      </c>
      <c r="BI34" s="599">
        <f t="shared" si="34"/>
        <v>15.833121431327159</v>
      </c>
      <c r="BJ34" s="584">
        <f t="shared" si="35"/>
        <v>0.35006944444444443</v>
      </c>
      <c r="BK34" s="584">
        <f t="shared" si="36"/>
        <v>9.3099999999999987</v>
      </c>
      <c r="BL34" s="599">
        <f t="shared" si="37"/>
        <v>113.82189473684211</v>
      </c>
      <c r="BM34" s="584">
        <f t="shared" si="138"/>
        <v>139.3150856126137</v>
      </c>
      <c r="BN34" s="584">
        <f t="shared" si="38"/>
        <v>151.0568014705882</v>
      </c>
      <c r="BO34" s="584">
        <f t="shared" si="139"/>
        <v>1</v>
      </c>
      <c r="BP34" s="609">
        <f t="shared" si="150"/>
        <v>9.25</v>
      </c>
      <c r="BQ34" s="718">
        <v>0.56999999999999995</v>
      </c>
      <c r="BR34" s="599">
        <f t="shared" si="41"/>
        <v>50.666666666666664</v>
      </c>
      <c r="BS34" s="599">
        <f t="shared" si="42"/>
        <v>20.502836419753088</v>
      </c>
      <c r="BT34" s="584">
        <f t="shared" si="43"/>
        <v>0.58777777777777773</v>
      </c>
      <c r="BU34" s="584">
        <f t="shared" si="44"/>
        <v>14.895999999999999</v>
      </c>
      <c r="BV34" s="599">
        <f t="shared" si="45"/>
        <v>113.82189473684211</v>
      </c>
      <c r="BW34" s="584">
        <f t="shared" si="140"/>
        <v>149.80850893437298</v>
      </c>
      <c r="BX34" s="584">
        <f t="shared" si="47"/>
        <v>151.0568014705882</v>
      </c>
      <c r="BY34" s="584">
        <f t="shared" si="141"/>
        <v>1</v>
      </c>
      <c r="BZ34" s="609">
        <f t="shared" si="151"/>
        <v>9.25</v>
      </c>
      <c r="CA34" s="718">
        <v>0.56999999999999995</v>
      </c>
      <c r="CB34" s="599">
        <f t="shared" si="50"/>
        <v>49.333333333333336</v>
      </c>
      <c r="CC34" s="599">
        <f t="shared" si="51"/>
        <v>19.575674382716052</v>
      </c>
      <c r="CD34" s="584">
        <f t="shared" si="52"/>
        <v>0.53777777777777791</v>
      </c>
      <c r="CE34" s="584">
        <f t="shared" si="53"/>
        <v>13.832000000000003</v>
      </c>
      <c r="CF34" s="599">
        <f t="shared" si="54"/>
        <v>113.82189473684211</v>
      </c>
      <c r="CG34" s="584">
        <f t="shared" si="142"/>
        <v>147.76734689733593</v>
      </c>
      <c r="CH34" s="584">
        <f t="shared" si="56"/>
        <v>151.0568014705882</v>
      </c>
      <c r="CI34" s="584">
        <f t="shared" si="143"/>
        <v>1</v>
      </c>
      <c r="CJ34" s="609">
        <f t="shared" si="152"/>
        <v>9.25</v>
      </c>
      <c r="CK34" s="718">
        <v>0.56999999999999995</v>
      </c>
      <c r="CL34" s="599">
        <f t="shared" si="59"/>
        <v>46</v>
      </c>
      <c r="CM34" s="599">
        <f t="shared" si="60"/>
        <v>17.335371527777777</v>
      </c>
      <c r="CN34" s="584">
        <f t="shared" si="61"/>
        <v>0.42249999999999993</v>
      </c>
      <c r="CO34" s="584">
        <f t="shared" si="62"/>
        <v>11.172000000000001</v>
      </c>
      <c r="CP34" s="599">
        <f t="shared" si="63"/>
        <v>113.82189473684211</v>
      </c>
      <c r="CQ34" s="584">
        <f t="shared" si="144"/>
        <v>142.7517662646199</v>
      </c>
      <c r="CR34" s="584">
        <f t="shared" si="65"/>
        <v>151.0568014705882</v>
      </c>
      <c r="CS34" s="584">
        <f t="shared" si="145"/>
        <v>1</v>
      </c>
      <c r="CT34" s="609">
        <f t="shared" si="153"/>
        <v>9.25</v>
      </c>
      <c r="CU34" s="718">
        <v>0.56999999999999995</v>
      </c>
      <c r="CV34" s="599">
        <f t="shared" si="68"/>
        <v>40</v>
      </c>
      <c r="CW34" s="599">
        <f t="shared" si="69"/>
        <v>13.582194444444443</v>
      </c>
      <c r="CX34" s="584">
        <f t="shared" si="70"/>
        <v>0.25</v>
      </c>
      <c r="CY34" s="584">
        <f t="shared" si="71"/>
        <v>6.3840000000000003</v>
      </c>
      <c r="CZ34" s="599">
        <f t="shared" si="72"/>
        <v>113.82189473684211</v>
      </c>
      <c r="DA34" s="584">
        <f t="shared" si="146"/>
        <v>134.03808918128655</v>
      </c>
      <c r="DB34" s="584">
        <f t="shared" si="74"/>
        <v>151.0568014705882</v>
      </c>
      <c r="DC34" s="584">
        <f t="shared" si="147"/>
        <v>1</v>
      </c>
      <c r="DD34" s="609">
        <f t="shared" si="154"/>
        <v>9.25</v>
      </c>
      <c r="DE34" s="718">
        <v>0.57299999999999995</v>
      </c>
      <c r="DF34" s="599">
        <f t="shared" si="77"/>
        <v>52</v>
      </c>
      <c r="DG34" s="599">
        <f t="shared" si="78"/>
        <v>21.447736111111109</v>
      </c>
      <c r="DH34" s="584">
        <f t="shared" si="79"/>
        <v>0.64</v>
      </c>
      <c r="DI34" s="584">
        <f t="shared" si="80"/>
        <v>15.96</v>
      </c>
      <c r="DJ34" s="599">
        <f t="shared" si="81"/>
        <v>113.82189473684211</v>
      </c>
      <c r="DK34" s="584">
        <f t="shared" si="148"/>
        <v>151.8696308479532</v>
      </c>
      <c r="DL34" s="584">
        <f t="shared" si="83"/>
        <v>151.9941470588235</v>
      </c>
      <c r="DM34" s="584">
        <f t="shared" si="149"/>
        <v>1</v>
      </c>
      <c r="DN34" s="609">
        <f t="shared" si="155"/>
        <v>9</v>
      </c>
    </row>
    <row r="35" spans="1:118" x14ac:dyDescent="0.2">
      <c r="A35">
        <v>27</v>
      </c>
      <c r="C35" s="497">
        <v>3.25</v>
      </c>
      <c r="D35" s="606" t="s">
        <v>42</v>
      </c>
      <c r="E35" s="712">
        <v>0.47600000000000003</v>
      </c>
      <c r="F35" s="584">
        <f t="shared" si="86"/>
        <v>43.166666666666664</v>
      </c>
      <c r="G35" s="584">
        <f t="shared" si="102"/>
        <v>25.687444709683636</v>
      </c>
      <c r="H35" s="584">
        <f t="shared" si="103"/>
        <v>0.44444444444444431</v>
      </c>
      <c r="I35" s="584">
        <f t="shared" si="104"/>
        <v>11.703999999999999</v>
      </c>
      <c r="J35" s="584">
        <f t="shared" si="105"/>
        <v>143.75588915412808</v>
      </c>
      <c r="K35" s="584">
        <f t="shared" si="106"/>
        <v>144.00262500000005</v>
      </c>
      <c r="L35" s="584">
        <f t="shared" si="107"/>
        <v>1</v>
      </c>
      <c r="M35" s="609">
        <f t="shared" si="156"/>
        <v>11</v>
      </c>
      <c r="N35" s="715">
        <v>0.51500000000000001</v>
      </c>
      <c r="O35" s="584">
        <f t="shared" si="90"/>
        <v>50.166666666666664</v>
      </c>
      <c r="P35" s="584">
        <f t="shared" si="108"/>
        <v>32.009238691165123</v>
      </c>
      <c r="Q35" s="584">
        <f t="shared" si="109"/>
        <v>0.7084027777777776</v>
      </c>
      <c r="R35" s="584">
        <f t="shared" si="110"/>
        <v>17.29</v>
      </c>
      <c r="S35" s="584">
        <f t="shared" si="111"/>
        <v>155.92764146894291</v>
      </c>
      <c r="T35" s="584">
        <f t="shared" si="112"/>
        <v>156.19786764705879</v>
      </c>
      <c r="U35" s="584">
        <f t="shared" si="113"/>
        <v>1</v>
      </c>
      <c r="V35" s="609">
        <f t="shared" si="157"/>
        <v>10.25</v>
      </c>
      <c r="W35" s="718">
        <v>0.50700000000000001</v>
      </c>
      <c r="X35" s="584">
        <f t="shared" si="92"/>
        <v>48.833333333333336</v>
      </c>
      <c r="Y35" s="584">
        <f t="shared" si="114"/>
        <v>30.767394941165122</v>
      </c>
      <c r="Z35" s="584">
        <f t="shared" si="115"/>
        <v>0.65340277777777789</v>
      </c>
      <c r="AA35" s="584">
        <f t="shared" si="116"/>
        <v>16.226000000000003</v>
      </c>
      <c r="AB35" s="584">
        <f t="shared" si="117"/>
        <v>153.56679771894289</v>
      </c>
      <c r="AC35" s="584">
        <f t="shared" si="118"/>
        <v>153.70722058823529</v>
      </c>
      <c r="AD35" s="584">
        <f t="shared" si="119"/>
        <v>1</v>
      </c>
      <c r="AE35" s="609">
        <f t="shared" si="158"/>
        <v>10.25</v>
      </c>
      <c r="AF35" s="718">
        <v>0.48800000000000004</v>
      </c>
      <c r="AG35" s="584">
        <f t="shared" si="94"/>
        <v>45.5</v>
      </c>
      <c r="AH35" s="584">
        <f t="shared" si="120"/>
        <v>27.740387803819445</v>
      </c>
      <c r="AI35" s="584">
        <f t="shared" si="121"/>
        <v>0.52562500000000001</v>
      </c>
      <c r="AJ35" s="584">
        <f t="shared" si="122"/>
        <v>13.566000000000001</v>
      </c>
      <c r="AK35" s="584">
        <f t="shared" si="123"/>
        <v>147.75201280381944</v>
      </c>
      <c r="AL35" s="584">
        <f t="shared" si="124"/>
        <v>147.76930147058823</v>
      </c>
      <c r="AM35" s="584">
        <f t="shared" si="125"/>
        <v>1</v>
      </c>
      <c r="AN35" s="609">
        <f t="shared" si="159"/>
        <v>10.75</v>
      </c>
      <c r="AO35" s="718">
        <v>0.45600000000000002</v>
      </c>
      <c r="AP35" s="584">
        <f t="shared" si="96"/>
        <v>39.5</v>
      </c>
      <c r="AQ35" s="584">
        <f t="shared" si="126"/>
        <v>22.571143012152774</v>
      </c>
      <c r="AR35" s="584">
        <f t="shared" si="127"/>
        <v>0.330625</v>
      </c>
      <c r="AS35" s="584">
        <f t="shared" si="128"/>
        <v>8.7780000000000005</v>
      </c>
      <c r="AT35" s="584">
        <f t="shared" si="129"/>
        <v>137.59976801215277</v>
      </c>
      <c r="AU35" s="584">
        <f t="shared" si="130"/>
        <v>137.69659558823531</v>
      </c>
      <c r="AV35" s="584">
        <f t="shared" si="131"/>
        <v>1</v>
      </c>
      <c r="AW35" s="609">
        <f t="shared" si="160"/>
        <v>11.5</v>
      </c>
      <c r="AX35" s="718">
        <v>0.52200000000000002</v>
      </c>
      <c r="AY35" s="584">
        <f t="shared" si="98"/>
        <v>51.5</v>
      </c>
      <c r="AZ35" s="584">
        <f t="shared" si="132"/>
        <v>33.268820095486113</v>
      </c>
      <c r="BA35" s="584">
        <f t="shared" si="133"/>
        <v>0.76562499999999978</v>
      </c>
      <c r="BB35" s="584">
        <f t="shared" si="134"/>
        <v>18.353999999999999</v>
      </c>
      <c r="BC35" s="584">
        <f t="shared" si="135"/>
        <v>158.30844509548612</v>
      </c>
      <c r="BD35" s="584">
        <f t="shared" si="136"/>
        <v>158.37255147058826</v>
      </c>
      <c r="BE35" s="584">
        <f t="shared" si="137"/>
        <v>1</v>
      </c>
      <c r="BF35" s="609">
        <f t="shared" si="161"/>
        <v>10</v>
      </c>
      <c r="BG35" s="718">
        <v>0.56999999999999995</v>
      </c>
      <c r="BH35" s="599">
        <f t="shared" si="33"/>
        <v>46.666666666666664</v>
      </c>
      <c r="BI35" s="599">
        <f t="shared" si="34"/>
        <v>17.774563271604936</v>
      </c>
      <c r="BJ35" s="584">
        <f t="shared" si="35"/>
        <v>0.44444444444444431</v>
      </c>
      <c r="BK35" s="584">
        <f t="shared" si="36"/>
        <v>11.703999999999999</v>
      </c>
      <c r="BL35" s="599">
        <f t="shared" si="37"/>
        <v>107.06019801980197</v>
      </c>
      <c r="BM35" s="584">
        <f t="shared" si="138"/>
        <v>136.98320573585136</v>
      </c>
      <c r="BN35" s="584">
        <f t="shared" si="38"/>
        <v>151.0568014705882</v>
      </c>
      <c r="BO35" s="584">
        <f t="shared" si="139"/>
        <v>1</v>
      </c>
      <c r="BP35" s="609">
        <f t="shared" si="150"/>
        <v>9.25</v>
      </c>
      <c r="BQ35" s="718">
        <v>0.56999999999999995</v>
      </c>
      <c r="BR35" s="599">
        <f t="shared" si="41"/>
        <v>53.666666666666664</v>
      </c>
      <c r="BS35" s="599">
        <f t="shared" si="42"/>
        <v>22.65380430169753</v>
      </c>
      <c r="BT35" s="584">
        <f t="shared" si="43"/>
        <v>0.7084027777777776</v>
      </c>
      <c r="BU35" s="584">
        <f t="shared" si="44"/>
        <v>17.29</v>
      </c>
      <c r="BV35" s="599">
        <f t="shared" si="45"/>
        <v>107.06019801980197</v>
      </c>
      <c r="BW35" s="584">
        <f t="shared" si="140"/>
        <v>147.71240509927728</v>
      </c>
      <c r="BX35" s="584">
        <f t="shared" si="47"/>
        <v>151.0568014705882</v>
      </c>
      <c r="BY35" s="584">
        <f t="shared" si="141"/>
        <v>1</v>
      </c>
      <c r="BZ35" s="609">
        <f t="shared" si="151"/>
        <v>9.25</v>
      </c>
      <c r="CA35" s="718">
        <v>0.56999999999999995</v>
      </c>
      <c r="CB35" s="599">
        <f t="shared" si="50"/>
        <v>52.333333333333336</v>
      </c>
      <c r="CC35" s="599">
        <f t="shared" si="51"/>
        <v>21.686732542438275</v>
      </c>
      <c r="CD35" s="584">
        <f t="shared" si="52"/>
        <v>0.65340277777777789</v>
      </c>
      <c r="CE35" s="584">
        <f t="shared" si="53"/>
        <v>16.226000000000003</v>
      </c>
      <c r="CF35" s="599">
        <f t="shared" si="54"/>
        <v>107.06019801980197</v>
      </c>
      <c r="CG35" s="584">
        <f t="shared" si="142"/>
        <v>145.62633334001802</v>
      </c>
      <c r="CH35" s="584">
        <f t="shared" si="56"/>
        <v>151.0568014705882</v>
      </c>
      <c r="CI35" s="584">
        <f t="shared" si="143"/>
        <v>1</v>
      </c>
      <c r="CJ35" s="609">
        <f t="shared" si="152"/>
        <v>9.25</v>
      </c>
      <c r="CK35" s="718">
        <v>0.56999999999999995</v>
      </c>
      <c r="CL35" s="599">
        <f t="shared" si="59"/>
        <v>49</v>
      </c>
      <c r="CM35" s="599">
        <f t="shared" si="60"/>
        <v>19.346655381944441</v>
      </c>
      <c r="CN35" s="584">
        <f t="shared" si="61"/>
        <v>0.52562500000000001</v>
      </c>
      <c r="CO35" s="584">
        <f t="shared" si="62"/>
        <v>13.566000000000001</v>
      </c>
      <c r="CP35" s="599">
        <f t="shared" si="63"/>
        <v>107.06019801980197</v>
      </c>
      <c r="CQ35" s="584">
        <f t="shared" si="144"/>
        <v>140.49847840174641</v>
      </c>
      <c r="CR35" s="584">
        <f t="shared" si="65"/>
        <v>151.0568014705882</v>
      </c>
      <c r="CS35" s="584">
        <f t="shared" si="145"/>
        <v>1</v>
      </c>
      <c r="CT35" s="609">
        <f t="shared" si="153"/>
        <v>9.25</v>
      </c>
      <c r="CU35" s="718">
        <v>0.56999999999999995</v>
      </c>
      <c r="CV35" s="599">
        <f t="shared" si="68"/>
        <v>43</v>
      </c>
      <c r="CW35" s="599">
        <f t="shared" si="69"/>
        <v>15.41388454861111</v>
      </c>
      <c r="CX35" s="584">
        <f t="shared" si="70"/>
        <v>0.330625</v>
      </c>
      <c r="CY35" s="584">
        <f t="shared" si="71"/>
        <v>8.7780000000000005</v>
      </c>
      <c r="CZ35" s="599">
        <f t="shared" si="72"/>
        <v>107.06019801980197</v>
      </c>
      <c r="DA35" s="584">
        <f t="shared" si="146"/>
        <v>131.58270756841307</v>
      </c>
      <c r="DB35" s="584">
        <f t="shared" si="74"/>
        <v>151.0568014705882</v>
      </c>
      <c r="DC35" s="584">
        <f t="shared" si="147"/>
        <v>1</v>
      </c>
      <c r="DD35" s="609">
        <f t="shared" si="154"/>
        <v>9.25</v>
      </c>
      <c r="DE35" s="718">
        <v>0.56999999999999995</v>
      </c>
      <c r="DF35" s="599">
        <f t="shared" si="77"/>
        <v>55</v>
      </c>
      <c r="DG35" s="599">
        <f t="shared" si="78"/>
        <v>23.638613715277774</v>
      </c>
      <c r="DH35" s="584">
        <f t="shared" si="79"/>
        <v>0.76562499999999978</v>
      </c>
      <c r="DI35" s="584">
        <f t="shared" si="80"/>
        <v>18.353999999999999</v>
      </c>
      <c r="DJ35" s="599">
        <f t="shared" si="81"/>
        <v>107.06019801980197</v>
      </c>
      <c r="DK35" s="584">
        <f t="shared" si="148"/>
        <v>149.81843673507973</v>
      </c>
      <c r="DL35" s="584">
        <f t="shared" si="83"/>
        <v>151.0568014705882</v>
      </c>
      <c r="DM35" s="584">
        <f t="shared" si="149"/>
        <v>1</v>
      </c>
      <c r="DN35" s="609">
        <f t="shared" si="155"/>
        <v>9.25</v>
      </c>
    </row>
    <row r="36" spans="1:118" x14ac:dyDescent="0.2">
      <c r="A36">
        <v>28</v>
      </c>
      <c r="C36" s="497">
        <v>3.5</v>
      </c>
      <c r="D36" s="606" t="s">
        <v>42</v>
      </c>
      <c r="E36" s="712">
        <v>0.49200000000000005</v>
      </c>
      <c r="F36" s="584">
        <f t="shared" si="86"/>
        <v>46.166666666666664</v>
      </c>
      <c r="G36" s="584">
        <f t="shared" si="102"/>
        <v>28.336920404128083</v>
      </c>
      <c r="H36" s="584">
        <f t="shared" si="103"/>
        <v>0.55006944444444417</v>
      </c>
      <c r="I36" s="584">
        <f t="shared" si="104"/>
        <v>14.097999999999999</v>
      </c>
      <c r="J36" s="584">
        <f t="shared" si="105"/>
        <v>148.90498984857254</v>
      </c>
      <c r="K36" s="584">
        <f t="shared" si="106"/>
        <v>149.02203676470589</v>
      </c>
      <c r="L36" s="584">
        <f t="shared" si="107"/>
        <v>1</v>
      </c>
      <c r="M36" s="609">
        <f t="shared" si="156"/>
        <v>10.5</v>
      </c>
      <c r="N36" s="715">
        <v>0.53200000000000003</v>
      </c>
      <c r="O36" s="584">
        <f t="shared" si="90"/>
        <v>53.166666666666664</v>
      </c>
      <c r="P36" s="584">
        <f t="shared" si="108"/>
        <v>34.868240427276234</v>
      </c>
      <c r="Q36" s="584">
        <f t="shared" si="109"/>
        <v>0.84027777777777768</v>
      </c>
      <c r="R36" s="584">
        <f t="shared" si="110"/>
        <v>19.683999999999997</v>
      </c>
      <c r="S36" s="584">
        <f t="shared" si="111"/>
        <v>161.312518205054</v>
      </c>
      <c r="T36" s="584">
        <f t="shared" si="112"/>
        <v>161.47174264705882</v>
      </c>
      <c r="U36" s="584">
        <f t="shared" si="113"/>
        <v>1</v>
      </c>
      <c r="V36" s="609">
        <f t="shared" si="157"/>
        <v>9.75</v>
      </c>
      <c r="W36" s="718">
        <v>0.52400000000000002</v>
      </c>
      <c r="X36" s="584">
        <f t="shared" si="92"/>
        <v>51.833333333333336</v>
      </c>
      <c r="Y36" s="584">
        <f t="shared" si="114"/>
        <v>33.586486955054013</v>
      </c>
      <c r="Z36" s="584">
        <f t="shared" si="115"/>
        <v>0.78027777777777785</v>
      </c>
      <c r="AA36" s="584">
        <f t="shared" si="116"/>
        <v>18.620000000000005</v>
      </c>
      <c r="AB36" s="584">
        <f t="shared" si="117"/>
        <v>158.90676473283179</v>
      </c>
      <c r="AC36" s="584">
        <f t="shared" si="118"/>
        <v>158.99309558823526</v>
      </c>
      <c r="AD36" s="584">
        <f t="shared" si="119"/>
        <v>1</v>
      </c>
      <c r="AE36" s="609">
        <f t="shared" si="158"/>
        <v>10</v>
      </c>
      <c r="AF36" s="718">
        <v>0.505</v>
      </c>
      <c r="AG36" s="584">
        <f t="shared" si="94"/>
        <v>48.5</v>
      </c>
      <c r="AH36" s="584">
        <f t="shared" si="120"/>
        <v>30.459705512152773</v>
      </c>
      <c r="AI36" s="584">
        <f t="shared" si="121"/>
        <v>0.64</v>
      </c>
      <c r="AJ36" s="584">
        <f t="shared" si="122"/>
        <v>15.96</v>
      </c>
      <c r="AK36" s="584">
        <f t="shared" si="123"/>
        <v>152.97970551215278</v>
      </c>
      <c r="AL36" s="584">
        <f t="shared" si="124"/>
        <v>153.08367647058822</v>
      </c>
      <c r="AM36" s="584">
        <f t="shared" si="125"/>
        <v>1</v>
      </c>
      <c r="AN36" s="609">
        <f t="shared" si="159"/>
        <v>10.25</v>
      </c>
      <c r="AO36" s="718">
        <v>0.47200000000000003</v>
      </c>
      <c r="AP36" s="584">
        <f t="shared" si="96"/>
        <v>42.5</v>
      </c>
      <c r="AQ36" s="584">
        <f t="shared" si="126"/>
        <v>25.110866970486114</v>
      </c>
      <c r="AR36" s="584">
        <f t="shared" si="127"/>
        <v>0.42249999999999993</v>
      </c>
      <c r="AS36" s="584">
        <f t="shared" si="128"/>
        <v>11.172000000000001</v>
      </c>
      <c r="AT36" s="584">
        <f t="shared" si="129"/>
        <v>142.62536697048611</v>
      </c>
      <c r="AU36" s="584">
        <f t="shared" si="130"/>
        <v>142.74424264705885</v>
      </c>
      <c r="AV36" s="584">
        <f t="shared" si="131"/>
        <v>1</v>
      </c>
      <c r="AW36" s="609">
        <f t="shared" si="160"/>
        <v>11</v>
      </c>
      <c r="AX36" s="718">
        <v>0.54</v>
      </c>
      <c r="AY36" s="584">
        <f t="shared" si="98"/>
        <v>54.5</v>
      </c>
      <c r="AZ36" s="584">
        <f t="shared" si="132"/>
        <v>36.167731553819436</v>
      </c>
      <c r="BA36" s="584">
        <f t="shared" si="133"/>
        <v>0.90250000000000008</v>
      </c>
      <c r="BB36" s="584">
        <f t="shared" si="134"/>
        <v>20.748000000000001</v>
      </c>
      <c r="BC36" s="584">
        <f t="shared" si="135"/>
        <v>163.73823155381945</v>
      </c>
      <c r="BD36" s="584">
        <f t="shared" si="136"/>
        <v>163.94474264705883</v>
      </c>
      <c r="BE36" s="584">
        <f t="shared" si="137"/>
        <v>1</v>
      </c>
      <c r="BF36" s="609">
        <f t="shared" si="161"/>
        <v>9.75</v>
      </c>
      <c r="BG36" s="718">
        <v>0.56999999999999995</v>
      </c>
      <c r="BH36" s="599">
        <f t="shared" si="33"/>
        <v>49.666666666666664</v>
      </c>
      <c r="BI36" s="599">
        <f t="shared" si="34"/>
        <v>19.805801986882713</v>
      </c>
      <c r="BJ36" s="584">
        <f t="shared" si="35"/>
        <v>0.55006944444444417</v>
      </c>
      <c r="BK36" s="584">
        <f t="shared" si="36"/>
        <v>14.097999999999999</v>
      </c>
      <c r="BL36" s="599">
        <f t="shared" si="37"/>
        <v>101.05682242990655</v>
      </c>
      <c r="BM36" s="584">
        <f t="shared" si="138"/>
        <v>135.5106938612337</v>
      </c>
      <c r="BN36" s="584">
        <f t="shared" si="38"/>
        <v>151.0568014705882</v>
      </c>
      <c r="BO36" s="584">
        <f t="shared" si="139"/>
        <v>1</v>
      </c>
      <c r="BP36" s="609">
        <f t="shared" si="150"/>
        <v>9.25</v>
      </c>
      <c r="BQ36" s="718">
        <v>0.56999999999999995</v>
      </c>
      <c r="BR36" s="599">
        <f t="shared" si="41"/>
        <v>56.666666666666664</v>
      </c>
      <c r="BS36" s="599">
        <f t="shared" si="42"/>
        <v>24.894569058641977</v>
      </c>
      <c r="BT36" s="584">
        <f t="shared" si="43"/>
        <v>0.84027777777777768</v>
      </c>
      <c r="BU36" s="584">
        <f t="shared" si="44"/>
        <v>19.683999999999997</v>
      </c>
      <c r="BV36" s="599">
        <f t="shared" si="45"/>
        <v>101.05682242990655</v>
      </c>
      <c r="BW36" s="584">
        <f t="shared" si="140"/>
        <v>146.47566926632629</v>
      </c>
      <c r="BX36" s="584">
        <f t="shared" si="47"/>
        <v>151.0568014705882</v>
      </c>
      <c r="BY36" s="584">
        <f t="shared" si="141"/>
        <v>1</v>
      </c>
      <c r="BZ36" s="609">
        <f t="shared" si="151"/>
        <v>9.25</v>
      </c>
      <c r="CA36" s="718">
        <v>0.56999999999999995</v>
      </c>
      <c r="CB36" s="599">
        <f t="shared" si="50"/>
        <v>55.333333333333336</v>
      </c>
      <c r="CC36" s="599">
        <f t="shared" si="51"/>
        <v>23.887587577160495</v>
      </c>
      <c r="CD36" s="584">
        <f t="shared" si="52"/>
        <v>0.78027777777777785</v>
      </c>
      <c r="CE36" s="584">
        <f t="shared" si="53"/>
        <v>18.620000000000005</v>
      </c>
      <c r="CF36" s="599">
        <f t="shared" si="54"/>
        <v>101.05682242990655</v>
      </c>
      <c r="CG36" s="584">
        <f t="shared" si="142"/>
        <v>144.34468778484484</v>
      </c>
      <c r="CH36" s="584">
        <f t="shared" si="56"/>
        <v>151.0568014705882</v>
      </c>
      <c r="CI36" s="584">
        <f t="shared" si="143"/>
        <v>1</v>
      </c>
      <c r="CJ36" s="609">
        <f t="shared" si="152"/>
        <v>9.25</v>
      </c>
      <c r="CK36" s="718">
        <v>0.56999999999999995</v>
      </c>
      <c r="CL36" s="599">
        <f t="shared" si="59"/>
        <v>52</v>
      </c>
      <c r="CM36" s="599">
        <f t="shared" si="60"/>
        <v>21.447736111111109</v>
      </c>
      <c r="CN36" s="584">
        <f t="shared" si="61"/>
        <v>0.64</v>
      </c>
      <c r="CO36" s="584">
        <f t="shared" si="62"/>
        <v>15.96</v>
      </c>
      <c r="CP36" s="599">
        <f t="shared" si="63"/>
        <v>101.05682242990655</v>
      </c>
      <c r="CQ36" s="584">
        <f t="shared" si="144"/>
        <v>139.10455854101764</v>
      </c>
      <c r="CR36" s="584">
        <f t="shared" si="65"/>
        <v>151.0568014705882</v>
      </c>
      <c r="CS36" s="584">
        <f t="shared" si="145"/>
        <v>1</v>
      </c>
      <c r="CT36" s="609">
        <f t="shared" si="153"/>
        <v>9.25</v>
      </c>
      <c r="CU36" s="718">
        <v>0.56999999999999995</v>
      </c>
      <c r="CV36" s="599">
        <f t="shared" si="68"/>
        <v>46</v>
      </c>
      <c r="CW36" s="599">
        <f t="shared" si="69"/>
        <v>17.335371527777777</v>
      </c>
      <c r="CX36" s="584">
        <f t="shared" si="70"/>
        <v>0.42249999999999993</v>
      </c>
      <c r="CY36" s="584">
        <f t="shared" si="71"/>
        <v>11.172000000000001</v>
      </c>
      <c r="CZ36" s="599">
        <f t="shared" si="72"/>
        <v>101.05682242990655</v>
      </c>
      <c r="DA36" s="584">
        <f t="shared" si="146"/>
        <v>129.98669395768434</v>
      </c>
      <c r="DB36" s="584">
        <f t="shared" si="74"/>
        <v>151.0568014705882</v>
      </c>
      <c r="DC36" s="584">
        <f t="shared" si="147"/>
        <v>1</v>
      </c>
      <c r="DD36" s="609">
        <f t="shared" si="154"/>
        <v>9.25</v>
      </c>
      <c r="DE36" s="718">
        <v>0.56999999999999995</v>
      </c>
      <c r="DF36" s="599">
        <f t="shared" si="77"/>
        <v>58</v>
      </c>
      <c r="DG36" s="599">
        <f t="shared" si="78"/>
        <v>25.919288194444441</v>
      </c>
      <c r="DH36" s="584">
        <f t="shared" si="79"/>
        <v>0.90250000000000008</v>
      </c>
      <c r="DI36" s="584">
        <f t="shared" si="80"/>
        <v>20.748000000000001</v>
      </c>
      <c r="DJ36" s="599">
        <f t="shared" si="81"/>
        <v>101.05682242990655</v>
      </c>
      <c r="DK36" s="584">
        <f t="shared" si="148"/>
        <v>148.62661062435097</v>
      </c>
      <c r="DL36" s="584">
        <f t="shared" si="83"/>
        <v>151.0568014705882</v>
      </c>
      <c r="DM36" s="584">
        <f t="shared" si="149"/>
        <v>1</v>
      </c>
      <c r="DN36" s="609">
        <f t="shared" si="155"/>
        <v>9.25</v>
      </c>
    </row>
    <row r="37" spans="1:118" x14ac:dyDescent="0.2">
      <c r="A37">
        <v>29</v>
      </c>
      <c r="C37" s="497">
        <v>3.75</v>
      </c>
      <c r="D37" s="606" t="s">
        <v>42</v>
      </c>
      <c r="E37" s="712">
        <v>0.50900000000000001</v>
      </c>
      <c r="F37" s="584">
        <f t="shared" si="86"/>
        <v>49.166666666666664</v>
      </c>
      <c r="G37" s="584">
        <f t="shared" si="102"/>
        <v>31.076192973572532</v>
      </c>
      <c r="H37" s="584">
        <f t="shared" si="103"/>
        <v>0.66694444444444434</v>
      </c>
      <c r="I37" s="584">
        <f t="shared" si="104"/>
        <v>16.491999999999997</v>
      </c>
      <c r="J37" s="584">
        <f t="shared" si="105"/>
        <v>154.15513741801698</v>
      </c>
      <c r="K37" s="584">
        <f t="shared" si="106"/>
        <v>154.33041176470587</v>
      </c>
      <c r="L37" s="584">
        <f t="shared" si="107"/>
        <v>1</v>
      </c>
      <c r="M37" s="609">
        <f t="shared" si="156"/>
        <v>10.25</v>
      </c>
      <c r="N37" s="715">
        <v>0.55000000000000004</v>
      </c>
      <c r="O37" s="584">
        <f t="shared" si="90"/>
        <v>56.166666666666664</v>
      </c>
      <c r="P37" s="584">
        <f t="shared" si="108"/>
        <v>37.817039038387342</v>
      </c>
      <c r="Q37" s="584">
        <f t="shared" si="109"/>
        <v>0.98340277777777763</v>
      </c>
      <c r="R37" s="584">
        <f t="shared" si="110"/>
        <v>22.077999999999999</v>
      </c>
      <c r="S37" s="584">
        <f t="shared" si="111"/>
        <v>166.79844181616511</v>
      </c>
      <c r="T37" s="584">
        <f t="shared" si="112"/>
        <v>167.02805147058825</v>
      </c>
      <c r="U37" s="584">
        <f t="shared" si="113"/>
        <v>1</v>
      </c>
      <c r="V37" s="609">
        <f t="shared" si="157"/>
        <v>9.5</v>
      </c>
      <c r="W37" s="718">
        <v>0.54200000000000004</v>
      </c>
      <c r="X37" s="584">
        <f t="shared" si="92"/>
        <v>54.833333333333336</v>
      </c>
      <c r="Y37" s="584">
        <f t="shared" si="114"/>
        <v>36.495375843942902</v>
      </c>
      <c r="Z37" s="584">
        <f t="shared" si="115"/>
        <v>0.9184027777777779</v>
      </c>
      <c r="AA37" s="584">
        <f t="shared" si="116"/>
        <v>21.014000000000003</v>
      </c>
      <c r="AB37" s="584">
        <f t="shared" si="117"/>
        <v>164.34777862172069</v>
      </c>
      <c r="AC37" s="584">
        <f t="shared" si="118"/>
        <v>164.56211029411764</v>
      </c>
      <c r="AD37" s="584">
        <f t="shared" si="119"/>
        <v>1</v>
      </c>
      <c r="AE37" s="609">
        <f t="shared" si="158"/>
        <v>9.5</v>
      </c>
      <c r="AF37" s="718">
        <v>0.52200000000000002</v>
      </c>
      <c r="AG37" s="584">
        <f t="shared" si="94"/>
        <v>51.5</v>
      </c>
      <c r="AH37" s="584">
        <f t="shared" si="120"/>
        <v>33.268820095486113</v>
      </c>
      <c r="AI37" s="584">
        <f t="shared" si="121"/>
        <v>0.76562499999999978</v>
      </c>
      <c r="AJ37" s="584">
        <f t="shared" si="122"/>
        <v>18.353999999999999</v>
      </c>
      <c r="AK37" s="584">
        <f t="shared" si="123"/>
        <v>158.30844509548612</v>
      </c>
      <c r="AL37" s="584">
        <f t="shared" si="124"/>
        <v>158.37255147058826</v>
      </c>
      <c r="AM37" s="584">
        <f t="shared" si="125"/>
        <v>1</v>
      </c>
      <c r="AN37" s="609">
        <f t="shared" si="159"/>
        <v>10</v>
      </c>
      <c r="AO37" s="718">
        <v>0.48800000000000004</v>
      </c>
      <c r="AP37" s="584">
        <f t="shared" si="96"/>
        <v>45.5</v>
      </c>
      <c r="AQ37" s="584">
        <f t="shared" si="126"/>
        <v>27.740387803819445</v>
      </c>
      <c r="AR37" s="584">
        <f t="shared" si="127"/>
        <v>0.52562500000000001</v>
      </c>
      <c r="AS37" s="584">
        <f t="shared" si="128"/>
        <v>13.566000000000001</v>
      </c>
      <c r="AT37" s="584">
        <f t="shared" si="129"/>
        <v>147.75201280381944</v>
      </c>
      <c r="AU37" s="584">
        <f t="shared" si="130"/>
        <v>147.76930147058823</v>
      </c>
      <c r="AV37" s="584">
        <f t="shared" si="131"/>
        <v>1</v>
      </c>
      <c r="AW37" s="609">
        <f t="shared" si="160"/>
        <v>10.75</v>
      </c>
      <c r="AX37" s="718">
        <v>0.55800000000000005</v>
      </c>
      <c r="AY37" s="584">
        <f t="shared" si="98"/>
        <v>57.5</v>
      </c>
      <c r="AZ37" s="584">
        <f t="shared" si="132"/>
        <v>39.156439887152779</v>
      </c>
      <c r="BA37" s="584">
        <f t="shared" si="133"/>
        <v>1.0506250000000001</v>
      </c>
      <c r="BB37" s="584">
        <f t="shared" si="134"/>
        <v>23.142000000000003</v>
      </c>
      <c r="BC37" s="584">
        <f t="shared" si="135"/>
        <v>169.26906488715278</v>
      </c>
      <c r="BD37" s="584">
        <f t="shared" si="136"/>
        <v>169.48834558823532</v>
      </c>
      <c r="BE37" s="584">
        <f t="shared" si="137"/>
        <v>1</v>
      </c>
      <c r="BF37" s="609">
        <f t="shared" si="161"/>
        <v>9.25</v>
      </c>
      <c r="BG37" s="718">
        <v>0.56999999999999995</v>
      </c>
      <c r="BH37" s="599">
        <f t="shared" si="33"/>
        <v>52.666666666666664</v>
      </c>
      <c r="BI37" s="599">
        <f t="shared" si="34"/>
        <v>21.926837577160487</v>
      </c>
      <c r="BJ37" s="584">
        <f t="shared" si="35"/>
        <v>0.66694444444444434</v>
      </c>
      <c r="BK37" s="584">
        <f t="shared" si="36"/>
        <v>16.491999999999997</v>
      </c>
      <c r="BL37" s="599">
        <f t="shared" si="37"/>
        <v>97.415135135135131</v>
      </c>
      <c r="BM37" s="584">
        <f t="shared" si="138"/>
        <v>136.50091715674006</v>
      </c>
      <c r="BN37" s="584">
        <f t="shared" si="38"/>
        <v>151.0568014705882</v>
      </c>
      <c r="BO37" s="584">
        <f t="shared" si="139"/>
        <v>1</v>
      </c>
      <c r="BP37" s="609">
        <f t="shared" si="150"/>
        <v>9.25</v>
      </c>
      <c r="BQ37" s="718">
        <v>0.56999999999999995</v>
      </c>
      <c r="BR37" s="599">
        <f t="shared" si="41"/>
        <v>59.666666666666664</v>
      </c>
      <c r="BS37" s="599">
        <f t="shared" si="42"/>
        <v>27.225130690586422</v>
      </c>
      <c r="BT37" s="584">
        <f t="shared" si="43"/>
        <v>0.98340277777777763</v>
      </c>
      <c r="BU37" s="584">
        <f t="shared" si="44"/>
        <v>22.077999999999999</v>
      </c>
      <c r="BV37" s="599">
        <f t="shared" si="45"/>
        <v>97.415135135135131</v>
      </c>
      <c r="BW37" s="584">
        <f t="shared" si="140"/>
        <v>147.70166860349934</v>
      </c>
      <c r="BX37" s="584">
        <f t="shared" si="47"/>
        <v>151.0568014705882</v>
      </c>
      <c r="BY37" s="584">
        <f t="shared" si="141"/>
        <v>1</v>
      </c>
      <c r="BZ37" s="609">
        <f t="shared" si="151"/>
        <v>9.25</v>
      </c>
      <c r="CA37" s="718">
        <v>0.56999999999999995</v>
      </c>
      <c r="CB37" s="599">
        <f t="shared" si="50"/>
        <v>58.333333333333336</v>
      </c>
      <c r="CC37" s="599">
        <f t="shared" si="51"/>
        <v>26.17823948688272</v>
      </c>
      <c r="CD37" s="584">
        <f t="shared" si="52"/>
        <v>0.9184027777777779</v>
      </c>
      <c r="CE37" s="584">
        <f t="shared" si="53"/>
        <v>21.014000000000003</v>
      </c>
      <c r="CF37" s="599">
        <f t="shared" si="54"/>
        <v>97.415135135135131</v>
      </c>
      <c r="CG37" s="584">
        <f t="shared" si="142"/>
        <v>145.52577739979563</v>
      </c>
      <c r="CH37" s="584">
        <f t="shared" si="56"/>
        <v>151.0568014705882</v>
      </c>
      <c r="CI37" s="584">
        <f t="shared" si="143"/>
        <v>1</v>
      </c>
      <c r="CJ37" s="609">
        <f t="shared" si="152"/>
        <v>9.25</v>
      </c>
      <c r="CK37" s="718">
        <v>0.56999999999999995</v>
      </c>
      <c r="CL37" s="599">
        <f t="shared" si="59"/>
        <v>55</v>
      </c>
      <c r="CM37" s="599">
        <f t="shared" si="60"/>
        <v>23.638613715277774</v>
      </c>
      <c r="CN37" s="584">
        <f t="shared" si="61"/>
        <v>0.76562499999999978</v>
      </c>
      <c r="CO37" s="584">
        <f t="shared" si="62"/>
        <v>18.353999999999999</v>
      </c>
      <c r="CP37" s="599">
        <f t="shared" si="63"/>
        <v>97.415135135135131</v>
      </c>
      <c r="CQ37" s="584">
        <f t="shared" si="144"/>
        <v>140.1733738504129</v>
      </c>
      <c r="CR37" s="584">
        <f t="shared" si="65"/>
        <v>151.0568014705882</v>
      </c>
      <c r="CS37" s="584">
        <f t="shared" si="145"/>
        <v>1</v>
      </c>
      <c r="CT37" s="609">
        <f t="shared" si="153"/>
        <v>9.25</v>
      </c>
      <c r="CU37" s="718">
        <v>0.56999999999999995</v>
      </c>
      <c r="CV37" s="599">
        <f t="shared" si="68"/>
        <v>49</v>
      </c>
      <c r="CW37" s="599">
        <f t="shared" si="69"/>
        <v>19.346655381944441</v>
      </c>
      <c r="CX37" s="584">
        <f t="shared" si="70"/>
        <v>0.52562500000000001</v>
      </c>
      <c r="CY37" s="584">
        <f t="shared" si="71"/>
        <v>13.566000000000001</v>
      </c>
      <c r="CZ37" s="599">
        <f t="shared" si="72"/>
        <v>97.415135135135131</v>
      </c>
      <c r="DA37" s="584">
        <f t="shared" si="146"/>
        <v>130.85341551707958</v>
      </c>
      <c r="DB37" s="584">
        <f t="shared" si="74"/>
        <v>151.0568014705882</v>
      </c>
      <c r="DC37" s="584">
        <f t="shared" si="147"/>
        <v>1</v>
      </c>
      <c r="DD37" s="609">
        <f t="shared" si="154"/>
        <v>9.25</v>
      </c>
      <c r="DE37" s="718">
        <v>0.56999999999999995</v>
      </c>
      <c r="DF37" s="599">
        <f t="shared" si="77"/>
        <v>61</v>
      </c>
      <c r="DG37" s="599">
        <f t="shared" si="78"/>
        <v>28.289759548611109</v>
      </c>
      <c r="DH37" s="584">
        <f t="shared" si="79"/>
        <v>1.0506250000000001</v>
      </c>
      <c r="DI37" s="584">
        <f t="shared" si="80"/>
        <v>23.142000000000003</v>
      </c>
      <c r="DJ37" s="599">
        <f t="shared" si="81"/>
        <v>97.415135135135131</v>
      </c>
      <c r="DK37" s="584">
        <f t="shared" si="148"/>
        <v>149.89751968374622</v>
      </c>
      <c r="DL37" s="584">
        <f t="shared" si="83"/>
        <v>151.0568014705882</v>
      </c>
      <c r="DM37" s="584">
        <f t="shared" si="149"/>
        <v>1</v>
      </c>
      <c r="DN37" s="609">
        <f t="shared" si="155"/>
        <v>9.25</v>
      </c>
    </row>
    <row r="38" spans="1:118" x14ac:dyDescent="0.2">
      <c r="A38">
        <v>30</v>
      </c>
      <c r="C38" s="497">
        <v>4</v>
      </c>
      <c r="D38" s="606" t="s">
        <v>42</v>
      </c>
      <c r="E38" s="712">
        <v>0.52600000000000002</v>
      </c>
      <c r="F38" s="584">
        <f t="shared" si="86"/>
        <v>52.166666666666664</v>
      </c>
      <c r="G38" s="584">
        <f t="shared" si="102"/>
        <v>33.905262418016974</v>
      </c>
      <c r="H38" s="584">
        <f t="shared" si="103"/>
        <v>0.79506944444444416</v>
      </c>
      <c r="I38" s="584">
        <f t="shared" si="104"/>
        <v>18.885999999999999</v>
      </c>
      <c r="J38" s="584">
        <f t="shared" si="105"/>
        <v>159.50633186246142</v>
      </c>
      <c r="K38" s="584">
        <f t="shared" si="106"/>
        <v>159.61328676470589</v>
      </c>
      <c r="L38" s="584">
        <f t="shared" si="107"/>
        <v>1</v>
      </c>
      <c r="M38" s="609">
        <f t="shared" si="156"/>
        <v>10</v>
      </c>
      <c r="N38" s="715">
        <v>0.56800000000000006</v>
      </c>
      <c r="O38" s="584">
        <f t="shared" si="90"/>
        <v>59.166666666666664</v>
      </c>
      <c r="P38" s="584">
        <f t="shared" si="108"/>
        <v>40.855634524498456</v>
      </c>
      <c r="Q38" s="584">
        <f t="shared" si="109"/>
        <v>1.1377777777777778</v>
      </c>
      <c r="R38" s="584">
        <f t="shared" si="110"/>
        <v>24.471999999999998</v>
      </c>
      <c r="S38" s="584">
        <f t="shared" si="111"/>
        <v>172.38541230227622</v>
      </c>
      <c r="T38" s="584">
        <f t="shared" si="112"/>
        <v>172.55577205882355</v>
      </c>
      <c r="U38" s="584">
        <f t="shared" si="113"/>
        <v>1</v>
      </c>
      <c r="V38" s="609">
        <f t="shared" si="157"/>
        <v>9.25</v>
      </c>
      <c r="W38" s="718">
        <v>0.56000000000000005</v>
      </c>
      <c r="X38" s="584">
        <f t="shared" si="92"/>
        <v>57.833333333333336</v>
      </c>
      <c r="Y38" s="584">
        <f t="shared" si="114"/>
        <v>39.494061607831789</v>
      </c>
      <c r="Z38" s="584">
        <f t="shared" si="115"/>
        <v>1.0677777777777779</v>
      </c>
      <c r="AA38" s="584">
        <f t="shared" si="116"/>
        <v>23.408000000000005</v>
      </c>
      <c r="AB38" s="584">
        <f t="shared" si="117"/>
        <v>169.88983938560958</v>
      </c>
      <c r="AC38" s="584">
        <f t="shared" si="118"/>
        <v>170.10253676470589</v>
      </c>
      <c r="AD38" s="584">
        <f t="shared" si="119"/>
        <v>1</v>
      </c>
      <c r="AE38" s="609">
        <f t="shared" si="158"/>
        <v>9.25</v>
      </c>
      <c r="AF38" s="718">
        <v>0.54</v>
      </c>
      <c r="AG38" s="584">
        <f t="shared" si="94"/>
        <v>54.5</v>
      </c>
      <c r="AH38" s="584">
        <f t="shared" si="120"/>
        <v>36.167731553819436</v>
      </c>
      <c r="AI38" s="584">
        <f t="shared" si="121"/>
        <v>0.90250000000000008</v>
      </c>
      <c r="AJ38" s="584">
        <f t="shared" si="122"/>
        <v>20.748000000000001</v>
      </c>
      <c r="AK38" s="584">
        <f t="shared" si="123"/>
        <v>163.73823155381945</v>
      </c>
      <c r="AL38" s="584">
        <f t="shared" si="124"/>
        <v>163.94474264705883</v>
      </c>
      <c r="AM38" s="584">
        <f t="shared" si="125"/>
        <v>1</v>
      </c>
      <c r="AN38" s="609">
        <f t="shared" si="159"/>
        <v>9.75</v>
      </c>
      <c r="AO38" s="718">
        <v>0.505</v>
      </c>
      <c r="AP38" s="584">
        <f t="shared" si="96"/>
        <v>48.5</v>
      </c>
      <c r="AQ38" s="584">
        <f t="shared" si="126"/>
        <v>30.459705512152773</v>
      </c>
      <c r="AR38" s="584">
        <f t="shared" si="127"/>
        <v>0.64</v>
      </c>
      <c r="AS38" s="584">
        <f t="shared" si="128"/>
        <v>15.96</v>
      </c>
      <c r="AT38" s="584">
        <f t="shared" si="129"/>
        <v>152.97970551215278</v>
      </c>
      <c r="AU38" s="584">
        <f t="shared" si="130"/>
        <v>153.08367647058822</v>
      </c>
      <c r="AV38" s="584">
        <f t="shared" si="131"/>
        <v>1</v>
      </c>
      <c r="AW38" s="609">
        <f t="shared" si="160"/>
        <v>10.25</v>
      </c>
      <c r="AX38" s="718">
        <v>0.57600000000000007</v>
      </c>
      <c r="AY38" s="584">
        <f t="shared" si="98"/>
        <v>60.5</v>
      </c>
      <c r="AZ38" s="584">
        <f t="shared" si="132"/>
        <v>42.234945095486118</v>
      </c>
      <c r="BA38" s="584">
        <f t="shared" si="133"/>
        <v>1.2099999999999997</v>
      </c>
      <c r="BB38" s="584">
        <f t="shared" si="134"/>
        <v>25.536000000000001</v>
      </c>
      <c r="BC38" s="584">
        <f t="shared" si="135"/>
        <v>174.90094509548612</v>
      </c>
      <c r="BD38" s="584">
        <f t="shared" si="136"/>
        <v>175.00336029411767</v>
      </c>
      <c r="BE38" s="584">
        <f t="shared" si="137"/>
        <v>1</v>
      </c>
      <c r="BF38" s="609">
        <f t="shared" si="161"/>
        <v>9</v>
      </c>
      <c r="BG38" s="718">
        <v>0.56999999999999995</v>
      </c>
      <c r="BH38" s="599">
        <f t="shared" si="33"/>
        <v>55.666666666666664</v>
      </c>
      <c r="BI38" s="599">
        <f t="shared" si="34"/>
        <v>24.137670042438266</v>
      </c>
      <c r="BJ38" s="584">
        <f t="shared" si="35"/>
        <v>0.79506944444444416</v>
      </c>
      <c r="BK38" s="584">
        <f t="shared" si="36"/>
        <v>18.885999999999999</v>
      </c>
      <c r="BL38" s="599">
        <f t="shared" si="37"/>
        <v>97.415135135135131</v>
      </c>
      <c r="BM38" s="584">
        <f t="shared" si="138"/>
        <v>141.23387462201782</v>
      </c>
      <c r="BN38" s="584">
        <f t="shared" si="38"/>
        <v>151.0568014705882</v>
      </c>
      <c r="BO38" s="584">
        <f t="shared" si="139"/>
        <v>1</v>
      </c>
      <c r="BP38" s="609">
        <f t="shared" si="150"/>
        <v>9.25</v>
      </c>
      <c r="BQ38" s="718">
        <v>0.57599999999999996</v>
      </c>
      <c r="BR38" s="599">
        <f t="shared" si="41"/>
        <v>62.666666666666664</v>
      </c>
      <c r="BS38" s="599">
        <f t="shared" si="42"/>
        <v>29.645489197530857</v>
      </c>
      <c r="BT38" s="584">
        <f t="shared" si="43"/>
        <v>1.1377777777777778</v>
      </c>
      <c r="BU38" s="584">
        <f t="shared" si="44"/>
        <v>24.471999999999998</v>
      </c>
      <c r="BV38" s="599">
        <f t="shared" si="45"/>
        <v>97.415135135135131</v>
      </c>
      <c r="BW38" s="584">
        <f t="shared" si="140"/>
        <v>152.67040211044377</v>
      </c>
      <c r="BX38" s="584">
        <f t="shared" si="47"/>
        <v>152.93069852941173</v>
      </c>
      <c r="BY38" s="584">
        <f t="shared" si="141"/>
        <v>1</v>
      </c>
      <c r="BZ38" s="609">
        <f t="shared" si="151"/>
        <v>9</v>
      </c>
      <c r="CA38" s="718">
        <v>0.56999999999999995</v>
      </c>
      <c r="CB38" s="599">
        <f t="shared" si="50"/>
        <v>61.333333333333336</v>
      </c>
      <c r="CC38" s="599">
        <f t="shared" si="51"/>
        <v>28.558688271604943</v>
      </c>
      <c r="CD38" s="584">
        <f t="shared" si="52"/>
        <v>1.0677777777777779</v>
      </c>
      <c r="CE38" s="584">
        <f t="shared" si="53"/>
        <v>23.408000000000005</v>
      </c>
      <c r="CF38" s="599">
        <f t="shared" si="54"/>
        <v>97.415135135135131</v>
      </c>
      <c r="CG38" s="584">
        <f t="shared" si="142"/>
        <v>150.44960118451786</v>
      </c>
      <c r="CH38" s="584">
        <f t="shared" si="56"/>
        <v>151.0568014705882</v>
      </c>
      <c r="CI38" s="584">
        <f t="shared" si="143"/>
        <v>1</v>
      </c>
      <c r="CJ38" s="609">
        <f t="shared" si="152"/>
        <v>9.25</v>
      </c>
      <c r="CK38" s="718">
        <v>0.56999999999999995</v>
      </c>
      <c r="CL38" s="599">
        <f t="shared" si="59"/>
        <v>58</v>
      </c>
      <c r="CM38" s="599">
        <f t="shared" si="60"/>
        <v>25.919288194444441</v>
      </c>
      <c r="CN38" s="584">
        <f t="shared" si="61"/>
        <v>0.90250000000000008</v>
      </c>
      <c r="CO38" s="584">
        <f t="shared" si="62"/>
        <v>20.748000000000001</v>
      </c>
      <c r="CP38" s="599">
        <f t="shared" si="63"/>
        <v>97.415135135135131</v>
      </c>
      <c r="CQ38" s="584">
        <f t="shared" si="144"/>
        <v>144.98492332957957</v>
      </c>
      <c r="CR38" s="584">
        <f t="shared" si="65"/>
        <v>151.0568014705882</v>
      </c>
      <c r="CS38" s="584">
        <f t="shared" si="145"/>
        <v>1</v>
      </c>
      <c r="CT38" s="609">
        <f t="shared" si="153"/>
        <v>9.25</v>
      </c>
      <c r="CU38" s="718">
        <v>0.56999999999999995</v>
      </c>
      <c r="CV38" s="599">
        <f t="shared" si="68"/>
        <v>52</v>
      </c>
      <c r="CW38" s="599">
        <f t="shared" si="69"/>
        <v>21.447736111111109</v>
      </c>
      <c r="CX38" s="584">
        <f t="shared" si="70"/>
        <v>0.64</v>
      </c>
      <c r="CY38" s="584">
        <f t="shared" si="71"/>
        <v>15.96</v>
      </c>
      <c r="CZ38" s="599">
        <f t="shared" si="72"/>
        <v>97.415135135135131</v>
      </c>
      <c r="DA38" s="584">
        <f t="shared" si="146"/>
        <v>135.46287124624624</v>
      </c>
      <c r="DB38" s="584">
        <f t="shared" si="74"/>
        <v>151.0568014705882</v>
      </c>
      <c r="DC38" s="584">
        <f t="shared" si="147"/>
        <v>1</v>
      </c>
      <c r="DD38" s="609">
        <f t="shared" si="154"/>
        <v>9.25</v>
      </c>
      <c r="DE38" s="718">
        <v>0.58299999999999996</v>
      </c>
      <c r="DF38" s="599">
        <f t="shared" si="77"/>
        <v>64</v>
      </c>
      <c r="DG38" s="599">
        <f t="shared" si="78"/>
        <v>30.750027777777774</v>
      </c>
      <c r="DH38" s="584">
        <f t="shared" si="79"/>
        <v>1.2099999999999997</v>
      </c>
      <c r="DI38" s="584">
        <f t="shared" si="80"/>
        <v>25.536000000000001</v>
      </c>
      <c r="DJ38" s="599">
        <f t="shared" si="81"/>
        <v>97.415135135135131</v>
      </c>
      <c r="DK38" s="584">
        <f t="shared" si="148"/>
        <v>154.91116291291291</v>
      </c>
      <c r="DL38" s="584">
        <f t="shared" si="83"/>
        <v>155.11289705882353</v>
      </c>
      <c r="DM38" s="584">
        <f t="shared" si="149"/>
        <v>1</v>
      </c>
      <c r="DN38" s="609">
        <f t="shared" si="155"/>
        <v>9</v>
      </c>
    </row>
    <row r="39" spans="1:118" x14ac:dyDescent="0.2">
      <c r="A39">
        <v>31</v>
      </c>
      <c r="C39" s="497">
        <v>4.25</v>
      </c>
      <c r="D39" s="606" t="s">
        <v>42</v>
      </c>
      <c r="E39" s="712">
        <v>0.54400000000000004</v>
      </c>
      <c r="F39" s="584">
        <f t="shared" si="86"/>
        <v>55.166666666666664</v>
      </c>
      <c r="G39" s="584">
        <f t="shared" si="102"/>
        <v>36.824128737461422</v>
      </c>
      <c r="H39" s="584">
        <f t="shared" si="103"/>
        <v>0.93444444444444419</v>
      </c>
      <c r="I39" s="584">
        <f t="shared" si="104"/>
        <v>21.279999999999998</v>
      </c>
      <c r="J39" s="584">
        <f t="shared" si="105"/>
        <v>164.95857318190588</v>
      </c>
      <c r="K39" s="584">
        <f t="shared" si="106"/>
        <v>165.179125</v>
      </c>
      <c r="L39" s="584">
        <f t="shared" si="107"/>
        <v>1</v>
      </c>
      <c r="M39" s="609">
        <f t="shared" si="156"/>
        <v>9.5</v>
      </c>
      <c r="N39" s="715">
        <v>0.58700000000000008</v>
      </c>
      <c r="O39" s="584">
        <f t="shared" si="90"/>
        <v>62.166666666666664</v>
      </c>
      <c r="P39" s="584">
        <f t="shared" si="108"/>
        <v>43.984026885609566</v>
      </c>
      <c r="Q39" s="584">
        <f t="shared" si="109"/>
        <v>1.3034027777777777</v>
      </c>
      <c r="R39" s="584">
        <f t="shared" si="110"/>
        <v>26.866</v>
      </c>
      <c r="S39" s="584">
        <f t="shared" si="111"/>
        <v>178.07342966338734</v>
      </c>
      <c r="T39" s="584">
        <f t="shared" si="112"/>
        <v>178.35957352941176</v>
      </c>
      <c r="U39" s="584">
        <f t="shared" si="113"/>
        <v>1</v>
      </c>
      <c r="V39" s="609">
        <f t="shared" si="157"/>
        <v>8.75</v>
      </c>
      <c r="W39" s="718">
        <v>0.57800000000000007</v>
      </c>
      <c r="X39" s="584">
        <f t="shared" si="92"/>
        <v>60.833333333333336</v>
      </c>
      <c r="Y39" s="584">
        <f t="shared" si="114"/>
        <v>42.582544246720673</v>
      </c>
      <c r="Z39" s="584">
        <f t="shared" si="115"/>
        <v>1.228402777777778</v>
      </c>
      <c r="AA39" s="584">
        <f t="shared" si="116"/>
        <v>25.802000000000003</v>
      </c>
      <c r="AB39" s="584">
        <f t="shared" si="117"/>
        <v>175.53294702449847</v>
      </c>
      <c r="AC39" s="584">
        <f t="shared" si="118"/>
        <v>175.614375</v>
      </c>
      <c r="AD39" s="584">
        <f t="shared" si="119"/>
        <v>1</v>
      </c>
      <c r="AE39" s="609">
        <f t="shared" si="158"/>
        <v>9</v>
      </c>
      <c r="AF39" s="718">
        <v>0.55800000000000005</v>
      </c>
      <c r="AG39" s="584">
        <f t="shared" si="94"/>
        <v>57.5</v>
      </c>
      <c r="AH39" s="584">
        <f t="shared" si="120"/>
        <v>39.156439887152779</v>
      </c>
      <c r="AI39" s="584">
        <f t="shared" si="121"/>
        <v>1.0506250000000001</v>
      </c>
      <c r="AJ39" s="584">
        <f t="shared" si="122"/>
        <v>23.142000000000003</v>
      </c>
      <c r="AK39" s="584">
        <f t="shared" si="123"/>
        <v>169.26906488715278</v>
      </c>
      <c r="AL39" s="584">
        <f t="shared" si="124"/>
        <v>169.48834558823532</v>
      </c>
      <c r="AM39" s="584">
        <f t="shared" si="125"/>
        <v>1</v>
      </c>
      <c r="AN39" s="609">
        <f t="shared" si="159"/>
        <v>9.25</v>
      </c>
      <c r="AO39" s="718">
        <v>0.52200000000000002</v>
      </c>
      <c r="AP39" s="584">
        <f t="shared" si="96"/>
        <v>51.5</v>
      </c>
      <c r="AQ39" s="584">
        <f t="shared" si="126"/>
        <v>33.268820095486113</v>
      </c>
      <c r="AR39" s="584">
        <f t="shared" si="127"/>
        <v>0.76562499999999978</v>
      </c>
      <c r="AS39" s="584">
        <f t="shared" si="128"/>
        <v>18.353999999999999</v>
      </c>
      <c r="AT39" s="584">
        <f t="shared" si="129"/>
        <v>158.30844509548612</v>
      </c>
      <c r="AU39" s="584">
        <f t="shared" si="130"/>
        <v>158.37255147058826</v>
      </c>
      <c r="AV39" s="584">
        <f t="shared" si="131"/>
        <v>1</v>
      </c>
      <c r="AW39" s="609">
        <f t="shared" si="160"/>
        <v>10</v>
      </c>
      <c r="AX39" s="718">
        <v>0.59500000000000008</v>
      </c>
      <c r="AY39" s="584">
        <f t="shared" si="98"/>
        <v>63.5</v>
      </c>
      <c r="AZ39" s="584">
        <f t="shared" si="132"/>
        <v>45.403247178819441</v>
      </c>
      <c r="BA39" s="584">
        <f t="shared" si="133"/>
        <v>1.380625</v>
      </c>
      <c r="BB39" s="584">
        <f t="shared" si="134"/>
        <v>27.93</v>
      </c>
      <c r="BC39" s="584">
        <f t="shared" si="135"/>
        <v>180.63387217881944</v>
      </c>
      <c r="BD39" s="584">
        <f t="shared" si="136"/>
        <v>180.79375000000005</v>
      </c>
      <c r="BE39" s="584">
        <f t="shared" si="137"/>
        <v>1</v>
      </c>
      <c r="BF39" s="609">
        <f t="shared" si="161"/>
        <v>8.75</v>
      </c>
      <c r="BG39" s="718">
        <v>0.56999999999999995</v>
      </c>
      <c r="BH39" s="599">
        <f t="shared" si="33"/>
        <v>58.666666666666664</v>
      </c>
      <c r="BI39" s="599">
        <f t="shared" si="34"/>
        <v>26.438299382716046</v>
      </c>
      <c r="BJ39" s="584">
        <f t="shared" si="35"/>
        <v>0.93444444444444419</v>
      </c>
      <c r="BK39" s="584">
        <f t="shared" si="36"/>
        <v>21.279999999999998</v>
      </c>
      <c r="BL39" s="599">
        <f t="shared" si="37"/>
        <v>97.415135135135131</v>
      </c>
      <c r="BM39" s="584">
        <f t="shared" si="138"/>
        <v>146.06787896229562</v>
      </c>
      <c r="BN39" s="584">
        <f t="shared" si="38"/>
        <v>151.0568014705882</v>
      </c>
      <c r="BO39" s="584">
        <f t="shared" si="139"/>
        <v>1</v>
      </c>
      <c r="BP39" s="609">
        <f t="shared" si="150"/>
        <v>9.25</v>
      </c>
      <c r="BQ39" s="718">
        <v>0.59199999999999997</v>
      </c>
      <c r="BR39" s="599">
        <f t="shared" si="41"/>
        <v>65.666666666666671</v>
      </c>
      <c r="BS39" s="599">
        <f t="shared" si="42"/>
        <v>32.155644579475307</v>
      </c>
      <c r="BT39" s="584">
        <f t="shared" si="43"/>
        <v>1.3034027777777779</v>
      </c>
      <c r="BU39" s="584">
        <f t="shared" si="44"/>
        <v>26.866000000000007</v>
      </c>
      <c r="BV39" s="599">
        <f t="shared" si="45"/>
        <v>97.415135135135131</v>
      </c>
      <c r="BW39" s="584">
        <f t="shared" si="140"/>
        <v>157.74018249238821</v>
      </c>
      <c r="BX39" s="584">
        <f t="shared" si="47"/>
        <v>157.91222794117647</v>
      </c>
      <c r="BY39" s="584">
        <f t="shared" si="141"/>
        <v>1</v>
      </c>
      <c r="BZ39" s="609">
        <f t="shared" si="151"/>
        <v>8.75</v>
      </c>
      <c r="CA39" s="718">
        <v>0.58499999999999996</v>
      </c>
      <c r="CB39" s="599">
        <f t="shared" si="50"/>
        <v>64.333333333333329</v>
      </c>
      <c r="CC39" s="599">
        <f t="shared" si="51"/>
        <v>31.028933931327156</v>
      </c>
      <c r="CD39" s="584">
        <f t="shared" si="52"/>
        <v>1.2284027777777775</v>
      </c>
      <c r="CE39" s="584">
        <f t="shared" si="53"/>
        <v>25.801999999999996</v>
      </c>
      <c r="CF39" s="599">
        <f t="shared" si="54"/>
        <v>97.415135135135131</v>
      </c>
      <c r="CG39" s="584">
        <f t="shared" si="142"/>
        <v>155.47447184424004</v>
      </c>
      <c r="CH39" s="584">
        <f t="shared" si="56"/>
        <v>155.7355882352941</v>
      </c>
      <c r="CI39" s="584">
        <f t="shared" si="143"/>
        <v>1</v>
      </c>
      <c r="CJ39" s="609">
        <f t="shared" si="152"/>
        <v>9</v>
      </c>
      <c r="CK39" s="718">
        <v>0.56999999999999995</v>
      </c>
      <c r="CL39" s="599">
        <f t="shared" si="59"/>
        <v>61</v>
      </c>
      <c r="CM39" s="599">
        <f t="shared" si="60"/>
        <v>28.289759548611109</v>
      </c>
      <c r="CN39" s="584">
        <f t="shared" si="61"/>
        <v>1.0506250000000001</v>
      </c>
      <c r="CO39" s="584">
        <f t="shared" si="62"/>
        <v>23.142000000000003</v>
      </c>
      <c r="CP39" s="599">
        <f t="shared" si="63"/>
        <v>97.415135135135131</v>
      </c>
      <c r="CQ39" s="584">
        <f t="shared" si="144"/>
        <v>149.89751968374622</v>
      </c>
      <c r="CR39" s="584">
        <f t="shared" si="65"/>
        <v>151.0568014705882</v>
      </c>
      <c r="CS39" s="584">
        <f t="shared" si="145"/>
        <v>1</v>
      </c>
      <c r="CT39" s="609">
        <f t="shared" si="153"/>
        <v>9.25</v>
      </c>
      <c r="CU39" s="718">
        <v>0.56999999999999995</v>
      </c>
      <c r="CV39" s="599">
        <f t="shared" si="68"/>
        <v>55</v>
      </c>
      <c r="CW39" s="599">
        <f t="shared" si="69"/>
        <v>23.638613715277774</v>
      </c>
      <c r="CX39" s="584">
        <f t="shared" si="70"/>
        <v>0.76562499999999978</v>
      </c>
      <c r="CY39" s="584">
        <f t="shared" si="71"/>
        <v>18.353999999999999</v>
      </c>
      <c r="CZ39" s="599">
        <f t="shared" si="72"/>
        <v>97.415135135135131</v>
      </c>
      <c r="DA39" s="584">
        <f t="shared" si="146"/>
        <v>140.1733738504129</v>
      </c>
      <c r="DB39" s="584">
        <f t="shared" si="74"/>
        <v>151.0568014705882</v>
      </c>
      <c r="DC39" s="584">
        <f t="shared" si="147"/>
        <v>1</v>
      </c>
      <c r="DD39" s="609">
        <f t="shared" si="154"/>
        <v>9.25</v>
      </c>
      <c r="DE39" s="718">
        <v>0.59899999999999998</v>
      </c>
      <c r="DF39" s="599">
        <f t="shared" si="77"/>
        <v>67</v>
      </c>
      <c r="DG39" s="599">
        <f t="shared" si="78"/>
        <v>33.300092881944437</v>
      </c>
      <c r="DH39" s="584">
        <f t="shared" si="79"/>
        <v>1.380625</v>
      </c>
      <c r="DI39" s="584">
        <f t="shared" si="80"/>
        <v>27.93</v>
      </c>
      <c r="DJ39" s="599">
        <f t="shared" si="81"/>
        <v>97.415135135135131</v>
      </c>
      <c r="DK39" s="584">
        <f t="shared" si="148"/>
        <v>160.02585301707956</v>
      </c>
      <c r="DL39" s="584">
        <f t="shared" si="83"/>
        <v>160.08454411764706</v>
      </c>
      <c r="DM39" s="584">
        <f t="shared" si="149"/>
        <v>1</v>
      </c>
      <c r="DN39" s="609">
        <f t="shared" si="155"/>
        <v>8.75</v>
      </c>
    </row>
    <row r="40" spans="1:118" x14ac:dyDescent="0.2">
      <c r="A40">
        <v>32</v>
      </c>
      <c r="C40" s="497">
        <v>4.5</v>
      </c>
      <c r="D40" s="606" t="s">
        <v>42</v>
      </c>
      <c r="E40" s="712">
        <v>0.56200000000000006</v>
      </c>
      <c r="F40" s="584">
        <f t="shared" si="86"/>
        <v>58.166666666666664</v>
      </c>
      <c r="G40" s="584">
        <f t="shared" si="102"/>
        <v>39.832791931905867</v>
      </c>
      <c r="H40" s="584">
        <f t="shared" si="103"/>
        <v>1.0850694444444442</v>
      </c>
      <c r="I40" s="584">
        <f t="shared" si="104"/>
        <v>23.673999999999999</v>
      </c>
      <c r="J40" s="584">
        <f t="shared" si="105"/>
        <v>170.51186137635031</v>
      </c>
      <c r="K40" s="584">
        <f t="shared" si="106"/>
        <v>170.71637500000003</v>
      </c>
      <c r="L40" s="584">
        <f t="shared" si="107"/>
        <v>1</v>
      </c>
      <c r="M40" s="609">
        <f t="shared" si="156"/>
        <v>9.25</v>
      </c>
      <c r="N40" s="715">
        <v>0.60600000000000009</v>
      </c>
      <c r="O40" s="584">
        <f t="shared" si="90"/>
        <v>65.166666666666671</v>
      </c>
      <c r="P40" s="584">
        <f t="shared" si="108"/>
        <v>47.202216121720689</v>
      </c>
      <c r="Q40" s="584">
        <f t="shared" si="109"/>
        <v>1.4802777777777782</v>
      </c>
      <c r="R40" s="584">
        <f t="shared" si="110"/>
        <v>29.260000000000005</v>
      </c>
      <c r="S40" s="584">
        <f t="shared" si="111"/>
        <v>183.86249389949847</v>
      </c>
      <c r="T40" s="584">
        <f t="shared" si="112"/>
        <v>184.13152205882361</v>
      </c>
      <c r="U40" s="584">
        <f t="shared" si="113"/>
        <v>1</v>
      </c>
      <c r="V40" s="609">
        <f t="shared" si="157"/>
        <v>8.5</v>
      </c>
      <c r="W40" s="718">
        <v>0.59700000000000009</v>
      </c>
      <c r="X40" s="584">
        <f t="shared" si="92"/>
        <v>63.833333333333336</v>
      </c>
      <c r="Y40" s="584">
        <f t="shared" si="114"/>
        <v>45.760823760609583</v>
      </c>
      <c r="Z40" s="584">
        <f t="shared" si="115"/>
        <v>1.400277777777778</v>
      </c>
      <c r="AA40" s="584">
        <f t="shared" si="116"/>
        <v>28.196000000000005</v>
      </c>
      <c r="AB40" s="584">
        <f t="shared" si="117"/>
        <v>181.27710153838737</v>
      </c>
      <c r="AC40" s="584">
        <f t="shared" si="118"/>
        <v>181.40141176470593</v>
      </c>
      <c r="AD40" s="584">
        <f t="shared" si="119"/>
        <v>1</v>
      </c>
      <c r="AE40" s="609">
        <f t="shared" si="158"/>
        <v>8.75</v>
      </c>
      <c r="AF40" s="718">
        <v>0.57600000000000007</v>
      </c>
      <c r="AG40" s="584">
        <f t="shared" si="94"/>
        <v>60.5</v>
      </c>
      <c r="AH40" s="584">
        <f t="shared" si="120"/>
        <v>42.234945095486118</v>
      </c>
      <c r="AI40" s="584">
        <f t="shared" si="121"/>
        <v>1.2099999999999997</v>
      </c>
      <c r="AJ40" s="584">
        <f t="shared" si="122"/>
        <v>25.536000000000001</v>
      </c>
      <c r="AK40" s="584">
        <f t="shared" si="123"/>
        <v>174.90094509548612</v>
      </c>
      <c r="AL40" s="584">
        <f t="shared" si="124"/>
        <v>175.00336029411767</v>
      </c>
      <c r="AM40" s="584">
        <f t="shared" si="125"/>
        <v>1</v>
      </c>
      <c r="AN40" s="609">
        <f t="shared" si="159"/>
        <v>9</v>
      </c>
      <c r="AO40" s="718">
        <v>0.54</v>
      </c>
      <c r="AP40" s="584">
        <f t="shared" si="96"/>
        <v>54.5</v>
      </c>
      <c r="AQ40" s="584">
        <f t="shared" si="126"/>
        <v>36.167731553819436</v>
      </c>
      <c r="AR40" s="584">
        <f t="shared" si="127"/>
        <v>0.90250000000000008</v>
      </c>
      <c r="AS40" s="584">
        <f t="shared" si="128"/>
        <v>20.748000000000001</v>
      </c>
      <c r="AT40" s="584">
        <f t="shared" si="129"/>
        <v>163.73823155381945</v>
      </c>
      <c r="AU40" s="584">
        <f t="shared" si="130"/>
        <v>163.94474264705883</v>
      </c>
      <c r="AV40" s="584">
        <f t="shared" si="131"/>
        <v>1</v>
      </c>
      <c r="AW40" s="609">
        <f t="shared" si="160"/>
        <v>9.75</v>
      </c>
      <c r="AX40" s="718">
        <v>0.6140000000000001</v>
      </c>
      <c r="AY40" s="584">
        <f t="shared" si="98"/>
        <v>66.5</v>
      </c>
      <c r="AZ40" s="584">
        <f t="shared" si="132"/>
        <v>48.661346137152783</v>
      </c>
      <c r="BA40" s="584">
        <f t="shared" si="133"/>
        <v>1.5625000000000004</v>
      </c>
      <c r="BB40" s="584">
        <f t="shared" si="134"/>
        <v>30.324000000000002</v>
      </c>
      <c r="BC40" s="584">
        <f t="shared" si="135"/>
        <v>186.46784613715278</v>
      </c>
      <c r="BD40" s="584">
        <f t="shared" si="136"/>
        <v>186.55228676470591</v>
      </c>
      <c r="BE40" s="584">
        <f t="shared" si="137"/>
        <v>1</v>
      </c>
      <c r="BF40" s="609">
        <f t="shared" si="161"/>
        <v>8.5</v>
      </c>
      <c r="BG40" s="718">
        <v>0.56999999999999995</v>
      </c>
      <c r="BH40" s="599">
        <f t="shared" si="33"/>
        <v>61.666666666666664</v>
      </c>
      <c r="BI40" s="599">
        <f t="shared" si="34"/>
        <v>28.828725597993824</v>
      </c>
      <c r="BJ40" s="584">
        <f t="shared" si="35"/>
        <v>1.0850694444444442</v>
      </c>
      <c r="BK40" s="584">
        <f t="shared" si="36"/>
        <v>23.673999999999999</v>
      </c>
      <c r="BL40" s="599">
        <f t="shared" si="37"/>
        <v>97.415135135135131</v>
      </c>
      <c r="BM40" s="584">
        <f t="shared" si="138"/>
        <v>151.0029301775734</v>
      </c>
      <c r="BN40" s="584">
        <f t="shared" si="38"/>
        <v>151.0568014705882</v>
      </c>
      <c r="BO40" s="584">
        <f t="shared" si="139"/>
        <v>1</v>
      </c>
      <c r="BP40" s="609">
        <f t="shared" si="150"/>
        <v>9.25</v>
      </c>
      <c r="BQ40" s="718">
        <v>0.60899999999999999</v>
      </c>
      <c r="BR40" s="599">
        <f t="shared" si="41"/>
        <v>68.666666666666671</v>
      </c>
      <c r="BS40" s="599">
        <f t="shared" si="42"/>
        <v>34.755596836419755</v>
      </c>
      <c r="BT40" s="584">
        <f t="shared" si="43"/>
        <v>1.4802777777777782</v>
      </c>
      <c r="BU40" s="584">
        <f t="shared" si="44"/>
        <v>29.260000000000005</v>
      </c>
      <c r="BV40" s="599">
        <f t="shared" si="45"/>
        <v>97.415135135135131</v>
      </c>
      <c r="BW40" s="584">
        <f t="shared" si="140"/>
        <v>162.91100974933266</v>
      </c>
      <c r="BX40" s="584">
        <f t="shared" si="47"/>
        <v>163.18035294117647</v>
      </c>
      <c r="BY40" s="584">
        <f t="shared" si="141"/>
        <v>1</v>
      </c>
      <c r="BZ40" s="609">
        <f t="shared" si="151"/>
        <v>8.5</v>
      </c>
      <c r="CA40" s="718">
        <v>0.60099999999999998</v>
      </c>
      <c r="CB40" s="599">
        <f t="shared" si="50"/>
        <v>67.333333333333329</v>
      </c>
      <c r="CC40" s="599">
        <f t="shared" si="51"/>
        <v>33.588976466049374</v>
      </c>
      <c r="CD40" s="584">
        <f t="shared" si="52"/>
        <v>1.4002777777777777</v>
      </c>
      <c r="CE40" s="584">
        <f t="shared" si="53"/>
        <v>28.195999999999998</v>
      </c>
      <c r="CF40" s="599">
        <f t="shared" si="54"/>
        <v>97.415135135135131</v>
      </c>
      <c r="CG40" s="584">
        <f t="shared" si="142"/>
        <v>160.60038937896229</v>
      </c>
      <c r="CH40" s="584">
        <f t="shared" si="56"/>
        <v>160.70441176470592</v>
      </c>
      <c r="CI40" s="584">
        <f t="shared" si="143"/>
        <v>1</v>
      </c>
      <c r="CJ40" s="609">
        <f t="shared" si="152"/>
        <v>8.75</v>
      </c>
      <c r="CK40" s="718">
        <v>0.58299999999999996</v>
      </c>
      <c r="CL40" s="599">
        <f t="shared" si="59"/>
        <v>64</v>
      </c>
      <c r="CM40" s="599">
        <f t="shared" si="60"/>
        <v>30.750027777777774</v>
      </c>
      <c r="CN40" s="584">
        <f t="shared" si="61"/>
        <v>1.2099999999999997</v>
      </c>
      <c r="CO40" s="584">
        <f t="shared" si="62"/>
        <v>25.536000000000001</v>
      </c>
      <c r="CP40" s="599">
        <f t="shared" si="63"/>
        <v>97.415135135135131</v>
      </c>
      <c r="CQ40" s="584">
        <f t="shared" si="144"/>
        <v>154.91116291291291</v>
      </c>
      <c r="CR40" s="584">
        <f t="shared" si="65"/>
        <v>155.11289705882353</v>
      </c>
      <c r="CS40" s="584">
        <f t="shared" si="145"/>
        <v>1</v>
      </c>
      <c r="CT40" s="609">
        <f t="shared" si="153"/>
        <v>9</v>
      </c>
      <c r="CU40" s="718">
        <v>0.56999999999999995</v>
      </c>
      <c r="CV40" s="599">
        <f t="shared" si="68"/>
        <v>58</v>
      </c>
      <c r="CW40" s="599">
        <f t="shared" si="69"/>
        <v>25.919288194444441</v>
      </c>
      <c r="CX40" s="584">
        <f t="shared" si="70"/>
        <v>0.90250000000000008</v>
      </c>
      <c r="CY40" s="584">
        <f t="shared" si="71"/>
        <v>20.748000000000001</v>
      </c>
      <c r="CZ40" s="599">
        <f t="shared" si="72"/>
        <v>97.415135135135131</v>
      </c>
      <c r="DA40" s="584">
        <f t="shared" si="146"/>
        <v>144.98492332957957</v>
      </c>
      <c r="DB40" s="584">
        <f t="shared" si="74"/>
        <v>151.0568014705882</v>
      </c>
      <c r="DC40" s="584">
        <f t="shared" si="147"/>
        <v>1</v>
      </c>
      <c r="DD40" s="609">
        <f t="shared" si="154"/>
        <v>9.25</v>
      </c>
      <c r="DE40" s="718">
        <v>0.61599999999999999</v>
      </c>
      <c r="DF40" s="599">
        <f t="shared" si="77"/>
        <v>70</v>
      </c>
      <c r="DG40" s="599">
        <f t="shared" si="78"/>
        <v>35.939954861111104</v>
      </c>
      <c r="DH40" s="584">
        <f t="shared" si="79"/>
        <v>1.5625000000000004</v>
      </c>
      <c r="DI40" s="584">
        <f t="shared" si="80"/>
        <v>30.324000000000002</v>
      </c>
      <c r="DJ40" s="599">
        <f t="shared" si="81"/>
        <v>97.415135135135131</v>
      </c>
      <c r="DK40" s="584">
        <f t="shared" si="148"/>
        <v>165.24158999624623</v>
      </c>
      <c r="DL40" s="584">
        <f t="shared" si="83"/>
        <v>165.34216911764707</v>
      </c>
      <c r="DM40" s="584">
        <f t="shared" si="149"/>
        <v>1</v>
      </c>
      <c r="DN40" s="609">
        <f t="shared" si="155"/>
        <v>8.5</v>
      </c>
    </row>
    <row r="41" spans="1:118" x14ac:dyDescent="0.2">
      <c r="A41">
        <v>33</v>
      </c>
      <c r="C41" s="497">
        <v>4.75</v>
      </c>
      <c r="D41" s="606" t="s">
        <v>42</v>
      </c>
      <c r="E41" s="712">
        <v>0.58000000000000007</v>
      </c>
      <c r="F41" s="584">
        <f t="shared" si="86"/>
        <v>61.166666666666664</v>
      </c>
      <c r="G41" s="584">
        <f t="shared" si="102"/>
        <v>42.931252001350302</v>
      </c>
      <c r="H41" s="584">
        <f t="shared" si="103"/>
        <v>1.2469444444444444</v>
      </c>
      <c r="I41" s="584">
        <f t="shared" si="104"/>
        <v>26.067999999999998</v>
      </c>
      <c r="J41" s="584">
        <f t="shared" si="105"/>
        <v>176.16619644579475</v>
      </c>
      <c r="K41" s="584">
        <f t="shared" si="106"/>
        <v>176.22503676470592</v>
      </c>
      <c r="L41" s="584">
        <f t="shared" si="107"/>
        <v>1</v>
      </c>
      <c r="M41" s="609">
        <f t="shared" si="156"/>
        <v>9</v>
      </c>
      <c r="N41" s="715">
        <v>0.62500000000000011</v>
      </c>
      <c r="O41" s="584">
        <f t="shared" si="90"/>
        <v>68.166666666666671</v>
      </c>
      <c r="P41" s="584">
        <f t="shared" si="108"/>
        <v>50.510202232831801</v>
      </c>
      <c r="Q41" s="584">
        <f t="shared" si="109"/>
        <v>1.6684027777777781</v>
      </c>
      <c r="R41" s="584">
        <f t="shared" si="110"/>
        <v>31.654000000000007</v>
      </c>
      <c r="S41" s="584">
        <f t="shared" si="111"/>
        <v>189.75260501060959</v>
      </c>
      <c r="T41" s="584">
        <f t="shared" si="112"/>
        <v>189.87161764705883</v>
      </c>
      <c r="U41" s="584">
        <f t="shared" si="113"/>
        <v>1</v>
      </c>
      <c r="V41" s="609">
        <f t="shared" si="157"/>
        <v>8.25</v>
      </c>
      <c r="W41" s="718">
        <v>0.6160000000000001</v>
      </c>
      <c r="X41" s="584">
        <f t="shared" si="92"/>
        <v>66.833333333333329</v>
      </c>
      <c r="Y41" s="584">
        <f t="shared" si="114"/>
        <v>49.028900149498455</v>
      </c>
      <c r="Z41" s="584">
        <f t="shared" si="115"/>
        <v>1.5834027777777773</v>
      </c>
      <c r="AA41" s="584">
        <f t="shared" si="116"/>
        <v>30.589999999999996</v>
      </c>
      <c r="AB41" s="584">
        <f t="shared" si="117"/>
        <v>187.12230292727622</v>
      </c>
      <c r="AC41" s="584">
        <f t="shared" si="118"/>
        <v>187.15659558823535</v>
      </c>
      <c r="AD41" s="584">
        <f t="shared" si="119"/>
        <v>1</v>
      </c>
      <c r="AE41" s="609">
        <f t="shared" si="158"/>
        <v>8.5</v>
      </c>
      <c r="AF41" s="718">
        <v>0.59500000000000008</v>
      </c>
      <c r="AG41" s="584">
        <f t="shared" si="94"/>
        <v>63.5</v>
      </c>
      <c r="AH41" s="584">
        <f t="shared" si="120"/>
        <v>45.403247178819441</v>
      </c>
      <c r="AI41" s="584">
        <f t="shared" si="121"/>
        <v>1.380625</v>
      </c>
      <c r="AJ41" s="584">
        <f t="shared" si="122"/>
        <v>27.93</v>
      </c>
      <c r="AK41" s="584">
        <f t="shared" si="123"/>
        <v>180.63387217881944</v>
      </c>
      <c r="AL41" s="584">
        <f t="shared" si="124"/>
        <v>180.79375000000005</v>
      </c>
      <c r="AM41" s="584">
        <f t="shared" si="125"/>
        <v>1</v>
      </c>
      <c r="AN41" s="609">
        <f t="shared" si="159"/>
        <v>8.75</v>
      </c>
      <c r="AO41" s="718">
        <v>0.55800000000000005</v>
      </c>
      <c r="AP41" s="584">
        <f t="shared" si="96"/>
        <v>57.5</v>
      </c>
      <c r="AQ41" s="584">
        <f t="shared" si="126"/>
        <v>39.156439887152779</v>
      </c>
      <c r="AR41" s="584">
        <f t="shared" si="127"/>
        <v>1.0506250000000001</v>
      </c>
      <c r="AS41" s="584">
        <f t="shared" si="128"/>
        <v>23.142000000000003</v>
      </c>
      <c r="AT41" s="584">
        <f t="shared" si="129"/>
        <v>169.26906488715278</v>
      </c>
      <c r="AU41" s="584">
        <f t="shared" si="130"/>
        <v>169.48834558823532</v>
      </c>
      <c r="AV41" s="584">
        <f t="shared" si="131"/>
        <v>1</v>
      </c>
      <c r="AW41" s="609">
        <f t="shared" si="160"/>
        <v>9.25</v>
      </c>
      <c r="AX41" s="718">
        <v>0.63400000000000012</v>
      </c>
      <c r="AY41" s="584">
        <f t="shared" si="98"/>
        <v>69.5</v>
      </c>
      <c r="AZ41" s="584">
        <f t="shared" si="132"/>
        <v>52.009241970486109</v>
      </c>
      <c r="BA41" s="584">
        <f t="shared" si="133"/>
        <v>1.755625</v>
      </c>
      <c r="BB41" s="584">
        <f t="shared" si="134"/>
        <v>32.718000000000004</v>
      </c>
      <c r="BC41" s="584">
        <f t="shared" si="135"/>
        <v>192.40286697048612</v>
      </c>
      <c r="BD41" s="584">
        <f t="shared" si="136"/>
        <v>192.57949264705883</v>
      </c>
      <c r="BE41" s="584">
        <f t="shared" si="137"/>
        <v>1</v>
      </c>
      <c r="BF41" s="609">
        <f t="shared" si="161"/>
        <v>8.25</v>
      </c>
      <c r="BG41" s="718">
        <v>0.58599999999999997</v>
      </c>
      <c r="BH41" s="599">
        <f t="shared" si="33"/>
        <v>64.666666666666671</v>
      </c>
      <c r="BI41" s="599">
        <f t="shared" si="34"/>
        <v>31.308948688271609</v>
      </c>
      <c r="BJ41" s="584">
        <f t="shared" si="35"/>
        <v>1.2469444444444449</v>
      </c>
      <c r="BK41" s="584">
        <f t="shared" si="36"/>
        <v>26.068000000000005</v>
      </c>
      <c r="BL41" s="599">
        <f t="shared" si="37"/>
        <v>97.415135135135131</v>
      </c>
      <c r="BM41" s="584">
        <f t="shared" si="138"/>
        <v>156.03902826785119</v>
      </c>
      <c r="BN41" s="584">
        <f t="shared" si="38"/>
        <v>156.04680147058824</v>
      </c>
      <c r="BO41" s="584">
        <f t="shared" si="139"/>
        <v>1</v>
      </c>
      <c r="BP41" s="609">
        <f t="shared" si="150"/>
        <v>9</v>
      </c>
      <c r="BQ41" s="718">
        <v>0.626</v>
      </c>
      <c r="BR41" s="599">
        <f t="shared" si="41"/>
        <v>71.666666666666671</v>
      </c>
      <c r="BS41" s="599">
        <f t="shared" si="42"/>
        <v>37.445345968364194</v>
      </c>
      <c r="BT41" s="584">
        <f t="shared" si="43"/>
        <v>1.6684027777777781</v>
      </c>
      <c r="BU41" s="584">
        <f t="shared" si="44"/>
        <v>31.654000000000007</v>
      </c>
      <c r="BV41" s="599">
        <f t="shared" si="45"/>
        <v>97.415135135135131</v>
      </c>
      <c r="BW41" s="584">
        <f t="shared" si="140"/>
        <v>168.18288388127712</v>
      </c>
      <c r="BX41" s="584">
        <f t="shared" si="47"/>
        <v>168.4229779411765</v>
      </c>
      <c r="BY41" s="584">
        <f t="shared" si="141"/>
        <v>1</v>
      </c>
      <c r="BZ41" s="609">
        <f t="shared" si="151"/>
        <v>8.25</v>
      </c>
      <c r="CA41" s="718">
        <v>0.61799999999999999</v>
      </c>
      <c r="CB41" s="599">
        <f t="shared" si="50"/>
        <v>70.333333333333329</v>
      </c>
      <c r="CC41" s="599">
        <f t="shared" si="51"/>
        <v>36.2388158757716</v>
      </c>
      <c r="CD41" s="584">
        <f t="shared" si="52"/>
        <v>1.5834027777777773</v>
      </c>
      <c r="CE41" s="584">
        <f t="shared" si="53"/>
        <v>30.589999999999996</v>
      </c>
      <c r="CF41" s="599">
        <f t="shared" si="54"/>
        <v>97.415135135135131</v>
      </c>
      <c r="CG41" s="584">
        <f t="shared" si="142"/>
        <v>165.82735378868449</v>
      </c>
      <c r="CH41" s="584">
        <f t="shared" si="56"/>
        <v>165.95903676470587</v>
      </c>
      <c r="CI41" s="584">
        <f t="shared" si="143"/>
        <v>1</v>
      </c>
      <c r="CJ41" s="609">
        <f t="shared" si="152"/>
        <v>8.5</v>
      </c>
      <c r="CK41" s="718">
        <v>0.59899999999999998</v>
      </c>
      <c r="CL41" s="599">
        <f t="shared" si="59"/>
        <v>67</v>
      </c>
      <c r="CM41" s="599">
        <f t="shared" si="60"/>
        <v>33.300092881944437</v>
      </c>
      <c r="CN41" s="584">
        <f t="shared" si="61"/>
        <v>1.380625</v>
      </c>
      <c r="CO41" s="584">
        <f t="shared" si="62"/>
        <v>27.93</v>
      </c>
      <c r="CP41" s="599">
        <f t="shared" si="63"/>
        <v>97.415135135135131</v>
      </c>
      <c r="CQ41" s="584">
        <f t="shared" si="144"/>
        <v>160.02585301707956</v>
      </c>
      <c r="CR41" s="584">
        <f t="shared" si="65"/>
        <v>160.08454411764706</v>
      </c>
      <c r="CS41" s="584">
        <f t="shared" si="145"/>
        <v>1</v>
      </c>
      <c r="CT41" s="609">
        <f t="shared" si="153"/>
        <v>8.75</v>
      </c>
      <c r="CU41" s="718">
        <v>0.56999999999999995</v>
      </c>
      <c r="CV41" s="599">
        <f t="shared" si="68"/>
        <v>61</v>
      </c>
      <c r="CW41" s="599">
        <f t="shared" si="69"/>
        <v>28.289759548611109</v>
      </c>
      <c r="CX41" s="584">
        <f t="shared" si="70"/>
        <v>1.0506250000000001</v>
      </c>
      <c r="CY41" s="584">
        <f t="shared" si="71"/>
        <v>23.142000000000003</v>
      </c>
      <c r="CZ41" s="599">
        <f t="shared" si="72"/>
        <v>97.415135135135131</v>
      </c>
      <c r="DA41" s="584">
        <f t="shared" si="146"/>
        <v>149.89751968374622</v>
      </c>
      <c r="DB41" s="584">
        <f t="shared" si="74"/>
        <v>151.0568014705882</v>
      </c>
      <c r="DC41" s="584">
        <f t="shared" si="147"/>
        <v>1</v>
      </c>
      <c r="DD41" s="609">
        <f t="shared" si="154"/>
        <v>9.25</v>
      </c>
      <c r="DE41" s="718">
        <v>0.63300000000000001</v>
      </c>
      <c r="DF41" s="599">
        <f t="shared" si="77"/>
        <v>73</v>
      </c>
      <c r="DG41" s="599">
        <f t="shared" si="78"/>
        <v>38.669613715277777</v>
      </c>
      <c r="DH41" s="584">
        <f t="shared" si="79"/>
        <v>1.755625</v>
      </c>
      <c r="DI41" s="584">
        <f t="shared" si="80"/>
        <v>32.718000000000004</v>
      </c>
      <c r="DJ41" s="599">
        <f t="shared" si="81"/>
        <v>97.415135135135131</v>
      </c>
      <c r="DK41" s="584">
        <f t="shared" si="148"/>
        <v>170.55837385041292</v>
      </c>
      <c r="DL41" s="584">
        <f t="shared" si="83"/>
        <v>170.57429411764704</v>
      </c>
      <c r="DM41" s="584">
        <f t="shared" si="149"/>
        <v>1</v>
      </c>
      <c r="DN41" s="609">
        <f t="shared" si="155"/>
        <v>8.25</v>
      </c>
    </row>
    <row r="42" spans="1:118" x14ac:dyDescent="0.2">
      <c r="A42">
        <v>34</v>
      </c>
      <c r="C42" s="497">
        <v>5</v>
      </c>
      <c r="D42" s="606" t="s">
        <v>42</v>
      </c>
      <c r="E42" s="712">
        <v>0.59900000000000009</v>
      </c>
      <c r="F42" s="584">
        <f t="shared" si="86"/>
        <v>64.166666666666671</v>
      </c>
      <c r="G42" s="584">
        <f t="shared" si="102"/>
        <v>46.119508945794756</v>
      </c>
      <c r="H42" s="584">
        <f t="shared" si="103"/>
        <v>1.4200694444444448</v>
      </c>
      <c r="I42" s="584">
        <f t="shared" si="104"/>
        <v>28.462000000000007</v>
      </c>
      <c r="J42" s="584">
        <f t="shared" si="105"/>
        <v>181.9215783902392</v>
      </c>
      <c r="K42" s="584">
        <f t="shared" si="106"/>
        <v>182.00872058823532</v>
      </c>
      <c r="L42" s="584">
        <f t="shared" si="107"/>
        <v>1</v>
      </c>
      <c r="M42" s="609">
        <f t="shared" si="156"/>
        <v>8.75</v>
      </c>
      <c r="N42" s="715">
        <v>0.64500000000000013</v>
      </c>
      <c r="O42" s="584">
        <f t="shared" si="90"/>
        <v>71.166666666666671</v>
      </c>
      <c r="P42" s="584">
        <f t="shared" si="108"/>
        <v>53.907985218942912</v>
      </c>
      <c r="Q42" s="584">
        <f t="shared" si="109"/>
        <v>1.867777777777778</v>
      </c>
      <c r="R42" s="584">
        <f t="shared" si="110"/>
        <v>34.048000000000009</v>
      </c>
      <c r="S42" s="584">
        <f t="shared" si="111"/>
        <v>195.7437629967207</v>
      </c>
      <c r="T42" s="584">
        <f t="shared" si="112"/>
        <v>195.87941176470594</v>
      </c>
      <c r="U42" s="584">
        <f t="shared" si="113"/>
        <v>1</v>
      </c>
      <c r="V42" s="609">
        <f t="shared" si="157"/>
        <v>8</v>
      </c>
      <c r="W42" s="718">
        <v>0.63600000000000012</v>
      </c>
      <c r="X42" s="584">
        <f t="shared" si="92"/>
        <v>69.833333333333329</v>
      </c>
      <c r="Y42" s="584">
        <f t="shared" si="114"/>
        <v>52.386773413387345</v>
      </c>
      <c r="Z42" s="584">
        <f t="shared" si="115"/>
        <v>1.7777777777777772</v>
      </c>
      <c r="AA42" s="584">
        <f t="shared" si="116"/>
        <v>32.983999999999995</v>
      </c>
      <c r="AB42" s="584">
        <f t="shared" si="117"/>
        <v>193.06855119116511</v>
      </c>
      <c r="AC42" s="584">
        <f t="shared" si="118"/>
        <v>193.18027205882359</v>
      </c>
      <c r="AD42" s="584">
        <f t="shared" si="119"/>
        <v>1</v>
      </c>
      <c r="AE42" s="609">
        <f t="shared" si="158"/>
        <v>8.25</v>
      </c>
      <c r="AF42" s="718">
        <v>0.6140000000000001</v>
      </c>
      <c r="AG42" s="584">
        <f t="shared" si="94"/>
        <v>66.5</v>
      </c>
      <c r="AH42" s="584">
        <f t="shared" si="120"/>
        <v>48.661346137152783</v>
      </c>
      <c r="AI42" s="584">
        <f t="shared" si="121"/>
        <v>1.5625000000000004</v>
      </c>
      <c r="AJ42" s="584">
        <f t="shared" si="122"/>
        <v>30.324000000000002</v>
      </c>
      <c r="AK42" s="584">
        <f t="shared" si="123"/>
        <v>186.46784613715278</v>
      </c>
      <c r="AL42" s="584">
        <f t="shared" si="124"/>
        <v>186.55228676470591</v>
      </c>
      <c r="AM42" s="584">
        <f t="shared" si="125"/>
        <v>1</v>
      </c>
      <c r="AN42" s="609">
        <f t="shared" si="159"/>
        <v>8.5</v>
      </c>
      <c r="AO42" s="718">
        <v>0.57600000000000007</v>
      </c>
      <c r="AP42" s="584">
        <f t="shared" si="96"/>
        <v>60.5</v>
      </c>
      <c r="AQ42" s="584">
        <f t="shared" si="126"/>
        <v>42.234945095486118</v>
      </c>
      <c r="AR42" s="584">
        <f t="shared" si="127"/>
        <v>1.2099999999999997</v>
      </c>
      <c r="AS42" s="584">
        <f t="shared" si="128"/>
        <v>25.536000000000001</v>
      </c>
      <c r="AT42" s="584">
        <f t="shared" si="129"/>
        <v>174.90094509548612</v>
      </c>
      <c r="AU42" s="584">
        <f t="shared" si="130"/>
        <v>175.00336029411767</v>
      </c>
      <c r="AV42" s="584">
        <f t="shared" si="131"/>
        <v>1</v>
      </c>
      <c r="AW42" s="609">
        <f t="shared" si="160"/>
        <v>9</v>
      </c>
      <c r="AX42" s="718">
        <v>0.65400000000000014</v>
      </c>
      <c r="AY42" s="584">
        <f t="shared" si="98"/>
        <v>72.5</v>
      </c>
      <c r="AZ42" s="584">
        <f t="shared" si="132"/>
        <v>55.446934678819446</v>
      </c>
      <c r="BA42" s="584">
        <f t="shared" si="133"/>
        <v>1.9600000000000004</v>
      </c>
      <c r="BB42" s="584">
        <f t="shared" si="134"/>
        <v>35.112000000000002</v>
      </c>
      <c r="BC42" s="584">
        <f t="shared" si="135"/>
        <v>198.43893467881946</v>
      </c>
      <c r="BD42" s="584">
        <f t="shared" si="136"/>
        <v>198.57140441176472</v>
      </c>
      <c r="BE42" s="584">
        <f t="shared" si="137"/>
        <v>1</v>
      </c>
      <c r="BF42" s="609">
        <f t="shared" si="161"/>
        <v>8</v>
      </c>
      <c r="BG42" s="718">
        <v>0.60299999999999998</v>
      </c>
      <c r="BH42" s="599">
        <f t="shared" si="33"/>
        <v>67.666666666666671</v>
      </c>
      <c r="BI42" s="599">
        <f t="shared" si="34"/>
        <v>33.878968653549386</v>
      </c>
      <c r="BJ42" s="584">
        <f t="shared" si="35"/>
        <v>1.4200694444444448</v>
      </c>
      <c r="BK42" s="584">
        <f t="shared" si="36"/>
        <v>28.462000000000007</v>
      </c>
      <c r="BL42" s="599">
        <f t="shared" si="37"/>
        <v>97.415135135135131</v>
      </c>
      <c r="BM42" s="584">
        <f t="shared" si="138"/>
        <v>161.17617323312896</v>
      </c>
      <c r="BN42" s="584">
        <f t="shared" si="38"/>
        <v>161.32392647058822</v>
      </c>
      <c r="BO42" s="584">
        <f t="shared" si="139"/>
        <v>1</v>
      </c>
      <c r="BP42" s="609">
        <f t="shared" si="150"/>
        <v>8.75</v>
      </c>
      <c r="BQ42" s="718">
        <v>0.64300000000000002</v>
      </c>
      <c r="BR42" s="599">
        <f t="shared" si="41"/>
        <v>74.666666666666671</v>
      </c>
      <c r="BS42" s="599">
        <f t="shared" si="42"/>
        <v>40.224891975308637</v>
      </c>
      <c r="BT42" s="584">
        <f t="shared" si="43"/>
        <v>1.867777777777778</v>
      </c>
      <c r="BU42" s="584">
        <f t="shared" si="44"/>
        <v>34.048000000000009</v>
      </c>
      <c r="BV42" s="599">
        <f t="shared" si="45"/>
        <v>97.415135135135131</v>
      </c>
      <c r="BW42" s="584">
        <f t="shared" si="140"/>
        <v>173.55580488822156</v>
      </c>
      <c r="BX42" s="584">
        <f t="shared" si="47"/>
        <v>173.64010294117648</v>
      </c>
      <c r="BY42" s="584">
        <f t="shared" si="141"/>
        <v>1</v>
      </c>
      <c r="BZ42" s="609">
        <f t="shared" si="151"/>
        <v>8</v>
      </c>
      <c r="CA42" s="718">
        <v>0.63500000000000001</v>
      </c>
      <c r="CB42" s="599">
        <f t="shared" si="50"/>
        <v>73.333333333333329</v>
      </c>
      <c r="CC42" s="599">
        <f t="shared" si="51"/>
        <v>38.978452160493823</v>
      </c>
      <c r="CD42" s="584">
        <f t="shared" si="52"/>
        <v>1.7777777777777772</v>
      </c>
      <c r="CE42" s="584">
        <f t="shared" si="53"/>
        <v>32.983999999999995</v>
      </c>
      <c r="CF42" s="599">
        <f t="shared" si="54"/>
        <v>97.415135135135131</v>
      </c>
      <c r="CG42" s="584">
        <f t="shared" si="142"/>
        <v>171.15536507340673</v>
      </c>
      <c r="CH42" s="584">
        <f t="shared" si="56"/>
        <v>171.18816176470591</v>
      </c>
      <c r="CI42" s="584">
        <f t="shared" si="143"/>
        <v>1</v>
      </c>
      <c r="CJ42" s="609">
        <f t="shared" si="152"/>
        <v>8.25</v>
      </c>
      <c r="CK42" s="718">
        <v>0.61599999999999999</v>
      </c>
      <c r="CL42" s="599">
        <f t="shared" si="59"/>
        <v>70</v>
      </c>
      <c r="CM42" s="599">
        <f t="shared" si="60"/>
        <v>35.939954861111104</v>
      </c>
      <c r="CN42" s="584">
        <f t="shared" si="61"/>
        <v>1.5625000000000004</v>
      </c>
      <c r="CO42" s="584">
        <f t="shared" si="62"/>
        <v>30.324000000000002</v>
      </c>
      <c r="CP42" s="599">
        <f t="shared" si="63"/>
        <v>97.415135135135131</v>
      </c>
      <c r="CQ42" s="584">
        <f t="shared" si="144"/>
        <v>165.24158999624623</v>
      </c>
      <c r="CR42" s="584">
        <f t="shared" si="65"/>
        <v>165.34216911764707</v>
      </c>
      <c r="CS42" s="584">
        <f t="shared" si="145"/>
        <v>1</v>
      </c>
      <c r="CT42" s="609">
        <f t="shared" si="153"/>
        <v>8.5</v>
      </c>
      <c r="CU42" s="718">
        <v>0.58299999999999996</v>
      </c>
      <c r="CV42" s="599">
        <f t="shared" si="68"/>
        <v>64</v>
      </c>
      <c r="CW42" s="599">
        <f t="shared" si="69"/>
        <v>30.750027777777774</v>
      </c>
      <c r="CX42" s="584">
        <f t="shared" si="70"/>
        <v>1.2099999999999997</v>
      </c>
      <c r="CY42" s="584">
        <f t="shared" si="71"/>
        <v>25.536000000000001</v>
      </c>
      <c r="CZ42" s="599">
        <f t="shared" si="72"/>
        <v>97.415135135135131</v>
      </c>
      <c r="DA42" s="584">
        <f t="shared" si="146"/>
        <v>154.91116291291291</v>
      </c>
      <c r="DB42" s="584">
        <f t="shared" si="74"/>
        <v>155.11289705882353</v>
      </c>
      <c r="DC42" s="584">
        <f t="shared" si="147"/>
        <v>1</v>
      </c>
      <c r="DD42" s="609">
        <f t="shared" si="154"/>
        <v>9</v>
      </c>
      <c r="DE42" s="718">
        <v>0.65100000000000002</v>
      </c>
      <c r="DF42" s="599">
        <f t="shared" si="77"/>
        <v>76</v>
      </c>
      <c r="DG42" s="599">
        <f t="shared" si="78"/>
        <v>41.489069444444439</v>
      </c>
      <c r="DH42" s="584">
        <f t="shared" si="79"/>
        <v>1.9600000000000004</v>
      </c>
      <c r="DI42" s="584">
        <f t="shared" si="80"/>
        <v>35.112000000000002</v>
      </c>
      <c r="DJ42" s="599">
        <f t="shared" si="81"/>
        <v>97.415135135135131</v>
      </c>
      <c r="DK42" s="584">
        <f t="shared" si="148"/>
        <v>175.97620457957959</v>
      </c>
      <c r="DL42" s="584">
        <f t="shared" si="83"/>
        <v>176.08639705882351</v>
      </c>
      <c r="DM42" s="584">
        <f t="shared" si="149"/>
        <v>1</v>
      </c>
      <c r="DN42" s="609">
        <f t="shared" si="155"/>
        <v>8</v>
      </c>
    </row>
    <row r="43" spans="1:118" x14ac:dyDescent="0.2">
      <c r="A43">
        <v>35</v>
      </c>
      <c r="C43" s="497">
        <v>5.25</v>
      </c>
      <c r="D43" s="606" t="s">
        <v>42</v>
      </c>
      <c r="E43" s="712">
        <v>0.61900000000000011</v>
      </c>
      <c r="F43" s="584">
        <f t="shared" si="86"/>
        <v>67.166666666666671</v>
      </c>
      <c r="G43" s="584">
        <f t="shared" si="102"/>
        <v>49.397562765239194</v>
      </c>
      <c r="H43" s="584">
        <f t="shared" si="103"/>
        <v>1.6044444444444446</v>
      </c>
      <c r="I43" s="584">
        <f t="shared" si="104"/>
        <v>30.856000000000005</v>
      </c>
      <c r="J43" s="584">
        <f t="shared" si="105"/>
        <v>187.77800720968366</v>
      </c>
      <c r="K43" s="584">
        <f t="shared" si="106"/>
        <v>188.06239705882356</v>
      </c>
      <c r="L43" s="584">
        <f t="shared" si="107"/>
        <v>1</v>
      </c>
      <c r="M43" s="609">
        <f t="shared" si="156"/>
        <v>8.5</v>
      </c>
      <c r="N43" s="715">
        <v>0.66500000000000015</v>
      </c>
      <c r="O43" s="584">
        <f t="shared" si="90"/>
        <v>74.166666666666671</v>
      </c>
      <c r="P43" s="584">
        <f t="shared" si="108"/>
        <v>57.395565080054013</v>
      </c>
      <c r="Q43" s="584">
        <f t="shared" si="109"/>
        <v>2.0784027777777783</v>
      </c>
      <c r="R43" s="584">
        <f t="shared" si="110"/>
        <v>36.442000000000007</v>
      </c>
      <c r="S43" s="584">
        <f t="shared" si="111"/>
        <v>201.8359678578318</v>
      </c>
      <c r="T43" s="584">
        <f t="shared" si="112"/>
        <v>201.8519117647059</v>
      </c>
      <c r="U43" s="584">
        <f t="shared" si="113"/>
        <v>1</v>
      </c>
      <c r="V43" s="609">
        <f t="shared" si="157"/>
        <v>7.75</v>
      </c>
      <c r="W43" s="718">
        <v>0.65600000000000014</v>
      </c>
      <c r="X43" s="584">
        <f t="shared" si="92"/>
        <v>72.833333333333329</v>
      </c>
      <c r="Y43" s="584">
        <f t="shared" si="114"/>
        <v>55.834443552276227</v>
      </c>
      <c r="Z43" s="584">
        <f t="shared" si="115"/>
        <v>1.9834027777777776</v>
      </c>
      <c r="AA43" s="584">
        <f t="shared" si="116"/>
        <v>35.378</v>
      </c>
      <c r="AB43" s="584">
        <f t="shared" si="117"/>
        <v>199.11584633005401</v>
      </c>
      <c r="AC43" s="584">
        <f t="shared" si="118"/>
        <v>199.16865441176475</v>
      </c>
      <c r="AD43" s="584">
        <f t="shared" si="119"/>
        <v>1</v>
      </c>
      <c r="AE43" s="609">
        <f t="shared" si="158"/>
        <v>8</v>
      </c>
      <c r="AF43" s="718">
        <v>0.63400000000000012</v>
      </c>
      <c r="AG43" s="584">
        <f t="shared" si="94"/>
        <v>69.5</v>
      </c>
      <c r="AH43" s="584">
        <f t="shared" si="120"/>
        <v>52.009241970486109</v>
      </c>
      <c r="AI43" s="584">
        <f t="shared" si="121"/>
        <v>1.755625</v>
      </c>
      <c r="AJ43" s="584">
        <f t="shared" si="122"/>
        <v>32.718000000000004</v>
      </c>
      <c r="AK43" s="584">
        <f t="shared" si="123"/>
        <v>192.40286697048612</v>
      </c>
      <c r="AL43" s="584">
        <f t="shared" si="124"/>
        <v>192.57949264705883</v>
      </c>
      <c r="AM43" s="584">
        <f t="shared" si="125"/>
        <v>1</v>
      </c>
      <c r="AN43" s="609">
        <f t="shared" si="159"/>
        <v>8.25</v>
      </c>
      <c r="AO43" s="718">
        <v>0.59500000000000008</v>
      </c>
      <c r="AP43" s="584">
        <f t="shared" si="96"/>
        <v>63.5</v>
      </c>
      <c r="AQ43" s="584">
        <f t="shared" si="126"/>
        <v>45.403247178819441</v>
      </c>
      <c r="AR43" s="584">
        <f t="shared" si="127"/>
        <v>1.380625</v>
      </c>
      <c r="AS43" s="584">
        <f t="shared" si="128"/>
        <v>27.93</v>
      </c>
      <c r="AT43" s="584">
        <f t="shared" si="129"/>
        <v>180.63387217881944</v>
      </c>
      <c r="AU43" s="584">
        <f t="shared" si="130"/>
        <v>180.79375000000005</v>
      </c>
      <c r="AV43" s="584">
        <f t="shared" si="131"/>
        <v>1</v>
      </c>
      <c r="AW43" s="609">
        <f t="shared" si="160"/>
        <v>8.75</v>
      </c>
      <c r="AX43" s="718">
        <v>0.67500000000000016</v>
      </c>
      <c r="AY43" s="584">
        <f t="shared" si="98"/>
        <v>75.5</v>
      </c>
      <c r="AZ43" s="584">
        <f t="shared" si="132"/>
        <v>58.97442426215278</v>
      </c>
      <c r="BA43" s="584">
        <f t="shared" si="133"/>
        <v>2.1756250000000001</v>
      </c>
      <c r="BB43" s="584">
        <f t="shared" si="134"/>
        <v>37.506</v>
      </c>
      <c r="BC43" s="584">
        <f t="shared" si="135"/>
        <v>204.57604926215276</v>
      </c>
      <c r="BD43" s="584">
        <f t="shared" si="136"/>
        <v>204.82492647058831</v>
      </c>
      <c r="BE43" s="584">
        <f t="shared" si="137"/>
        <v>1</v>
      </c>
      <c r="BF43" s="609">
        <f t="shared" si="161"/>
        <v>7.75</v>
      </c>
      <c r="BG43" s="718">
        <v>0.62</v>
      </c>
      <c r="BH43" s="599">
        <f t="shared" si="33"/>
        <v>70.666666666666671</v>
      </c>
      <c r="BI43" s="599">
        <f t="shared" si="34"/>
        <v>36.53878549382717</v>
      </c>
      <c r="BJ43" s="584">
        <f t="shared" si="35"/>
        <v>1.6044444444444446</v>
      </c>
      <c r="BK43" s="584">
        <f t="shared" si="36"/>
        <v>30.856000000000005</v>
      </c>
      <c r="BL43" s="599">
        <f t="shared" si="37"/>
        <v>97.415135135135131</v>
      </c>
      <c r="BM43" s="584">
        <f t="shared" si="138"/>
        <v>166.41436507340677</v>
      </c>
      <c r="BN43" s="584">
        <f t="shared" si="38"/>
        <v>166.57555147058827</v>
      </c>
      <c r="BO43" s="584">
        <f t="shared" si="139"/>
        <v>1</v>
      </c>
      <c r="BP43" s="609">
        <f t="shared" si="150"/>
        <v>8.5</v>
      </c>
      <c r="BQ43" s="718">
        <v>0.66100000000000003</v>
      </c>
      <c r="BR43" s="599">
        <f t="shared" si="41"/>
        <v>77.666666666666671</v>
      </c>
      <c r="BS43" s="599">
        <f t="shared" si="42"/>
        <v>43.094234857253085</v>
      </c>
      <c r="BT43" s="584">
        <f t="shared" si="43"/>
        <v>2.0784027777777783</v>
      </c>
      <c r="BU43" s="584">
        <f t="shared" si="44"/>
        <v>36.442000000000007</v>
      </c>
      <c r="BV43" s="599">
        <f t="shared" si="45"/>
        <v>97.415135135135131</v>
      </c>
      <c r="BW43" s="584">
        <f t="shared" si="140"/>
        <v>179.02977277016601</v>
      </c>
      <c r="BX43" s="584">
        <f t="shared" si="47"/>
        <v>179.13632352941175</v>
      </c>
      <c r="BY43" s="584">
        <f t="shared" si="141"/>
        <v>1</v>
      </c>
      <c r="BZ43" s="609">
        <f t="shared" si="151"/>
        <v>7.75</v>
      </c>
      <c r="CA43" s="718">
        <v>0.65300000000000002</v>
      </c>
      <c r="CB43" s="599">
        <f t="shared" si="50"/>
        <v>76.333333333333329</v>
      </c>
      <c r="CC43" s="599">
        <f t="shared" si="51"/>
        <v>41.807885320216045</v>
      </c>
      <c r="CD43" s="584">
        <f t="shared" si="52"/>
        <v>1.9834027777777776</v>
      </c>
      <c r="CE43" s="584">
        <f t="shared" si="53"/>
        <v>35.378</v>
      </c>
      <c r="CF43" s="599">
        <f t="shared" si="54"/>
        <v>97.415135135135131</v>
      </c>
      <c r="CG43" s="584">
        <f t="shared" si="142"/>
        <v>176.58442323312894</v>
      </c>
      <c r="CH43" s="584">
        <f t="shared" si="56"/>
        <v>176.6970882352941</v>
      </c>
      <c r="CI43" s="584">
        <f t="shared" si="143"/>
        <v>1</v>
      </c>
      <c r="CJ43" s="609">
        <f t="shared" si="152"/>
        <v>8</v>
      </c>
      <c r="CK43" s="718">
        <v>0.63300000000000001</v>
      </c>
      <c r="CL43" s="599">
        <f t="shared" si="59"/>
        <v>73</v>
      </c>
      <c r="CM43" s="599">
        <f t="shared" si="60"/>
        <v>38.669613715277777</v>
      </c>
      <c r="CN43" s="584">
        <f t="shared" si="61"/>
        <v>1.755625</v>
      </c>
      <c r="CO43" s="584">
        <f t="shared" si="62"/>
        <v>32.718000000000004</v>
      </c>
      <c r="CP43" s="599">
        <f t="shared" si="63"/>
        <v>97.415135135135131</v>
      </c>
      <c r="CQ43" s="584">
        <f t="shared" si="144"/>
        <v>170.55837385041292</v>
      </c>
      <c r="CR43" s="584">
        <f t="shared" si="65"/>
        <v>170.57429411764704</v>
      </c>
      <c r="CS43" s="584">
        <f t="shared" si="145"/>
        <v>1</v>
      </c>
      <c r="CT43" s="609">
        <f t="shared" si="153"/>
        <v>8.25</v>
      </c>
      <c r="CU43" s="718">
        <v>0.59899999999999998</v>
      </c>
      <c r="CV43" s="599">
        <f t="shared" si="68"/>
        <v>67</v>
      </c>
      <c r="CW43" s="599">
        <f t="shared" si="69"/>
        <v>33.300092881944437</v>
      </c>
      <c r="CX43" s="584">
        <f t="shared" si="70"/>
        <v>1.380625</v>
      </c>
      <c r="CY43" s="584">
        <f t="shared" si="71"/>
        <v>27.93</v>
      </c>
      <c r="CZ43" s="599">
        <f t="shared" si="72"/>
        <v>97.415135135135131</v>
      </c>
      <c r="DA43" s="584">
        <f t="shared" si="146"/>
        <v>160.02585301707956</v>
      </c>
      <c r="DB43" s="584">
        <f t="shared" si="74"/>
        <v>160.08454411764706</v>
      </c>
      <c r="DC43" s="584">
        <f t="shared" si="147"/>
        <v>1</v>
      </c>
      <c r="DD43" s="609">
        <f t="shared" si="154"/>
        <v>8.75</v>
      </c>
      <c r="DE43" s="718">
        <v>0.66900000000000004</v>
      </c>
      <c r="DF43" s="599">
        <f t="shared" si="77"/>
        <v>79</v>
      </c>
      <c r="DG43" s="599">
        <f t="shared" si="78"/>
        <v>44.398322048611107</v>
      </c>
      <c r="DH43" s="584">
        <f t="shared" si="79"/>
        <v>2.1756250000000001</v>
      </c>
      <c r="DI43" s="584">
        <f t="shared" si="80"/>
        <v>37.506</v>
      </c>
      <c r="DJ43" s="599">
        <f t="shared" si="81"/>
        <v>97.415135135135131</v>
      </c>
      <c r="DK43" s="584">
        <f t="shared" si="148"/>
        <v>181.49508218374623</v>
      </c>
      <c r="DL43" s="584">
        <f t="shared" si="83"/>
        <v>181.56991176470592</v>
      </c>
      <c r="DM43" s="584">
        <f t="shared" si="149"/>
        <v>1</v>
      </c>
      <c r="DN43" s="609">
        <f t="shared" si="155"/>
        <v>7.75</v>
      </c>
    </row>
    <row r="44" spans="1:118" x14ac:dyDescent="0.2">
      <c r="A44">
        <v>36</v>
      </c>
      <c r="C44" s="497">
        <v>5.5</v>
      </c>
      <c r="D44" s="606" t="s">
        <v>42</v>
      </c>
      <c r="E44" s="712">
        <v>0.63800000000000012</v>
      </c>
      <c r="F44" s="584">
        <f t="shared" si="86"/>
        <v>70.166666666666671</v>
      </c>
      <c r="G44" s="584">
        <f t="shared" si="102"/>
        <v>52.76541345968365</v>
      </c>
      <c r="H44" s="584">
        <f t="shared" si="103"/>
        <v>1.8000694444444449</v>
      </c>
      <c r="I44" s="584">
        <f t="shared" si="104"/>
        <v>33.250000000000007</v>
      </c>
      <c r="J44" s="584">
        <f t="shared" si="105"/>
        <v>193.73548290412811</v>
      </c>
      <c r="K44" s="584">
        <f t="shared" si="106"/>
        <v>193.78069852941181</v>
      </c>
      <c r="L44" s="584">
        <f t="shared" si="107"/>
        <v>1</v>
      </c>
      <c r="M44" s="609">
        <f t="shared" si="156"/>
        <v>8.25</v>
      </c>
      <c r="N44" s="715">
        <v>0.68600000000000017</v>
      </c>
      <c r="O44" s="584">
        <f t="shared" si="90"/>
        <v>77.166666666666671</v>
      </c>
      <c r="P44" s="584">
        <f t="shared" si="108"/>
        <v>60.972941816165132</v>
      </c>
      <c r="Q44" s="584">
        <f t="shared" si="109"/>
        <v>2.3002777777777785</v>
      </c>
      <c r="R44" s="584">
        <f t="shared" si="110"/>
        <v>38.836000000000006</v>
      </c>
      <c r="S44" s="584">
        <f t="shared" si="111"/>
        <v>208.02921959394291</v>
      </c>
      <c r="T44" s="584">
        <f t="shared" si="112"/>
        <v>208.08505147058827</v>
      </c>
      <c r="U44" s="584">
        <f t="shared" si="113"/>
        <v>1</v>
      </c>
      <c r="V44" s="609">
        <f t="shared" si="157"/>
        <v>7.5</v>
      </c>
      <c r="W44" s="718">
        <v>0.67700000000000016</v>
      </c>
      <c r="X44" s="584">
        <f t="shared" si="92"/>
        <v>75.833333333333329</v>
      </c>
      <c r="Y44" s="584">
        <f t="shared" si="114"/>
        <v>59.371910566165113</v>
      </c>
      <c r="Z44" s="584">
        <f t="shared" si="115"/>
        <v>2.2002777777777767</v>
      </c>
      <c r="AA44" s="584">
        <f t="shared" si="116"/>
        <v>37.771999999999998</v>
      </c>
      <c r="AB44" s="584">
        <f t="shared" si="117"/>
        <v>205.26418834394289</v>
      </c>
      <c r="AC44" s="584">
        <f t="shared" si="118"/>
        <v>205.41847058823535</v>
      </c>
      <c r="AD44" s="584">
        <f t="shared" si="119"/>
        <v>1</v>
      </c>
      <c r="AE44" s="609">
        <f t="shared" si="158"/>
        <v>7.75</v>
      </c>
      <c r="AF44" s="718">
        <v>0.65400000000000014</v>
      </c>
      <c r="AG44" s="584">
        <f t="shared" si="94"/>
        <v>72.5</v>
      </c>
      <c r="AH44" s="584">
        <f t="shared" si="120"/>
        <v>55.446934678819446</v>
      </c>
      <c r="AI44" s="584">
        <f t="shared" si="121"/>
        <v>1.9600000000000004</v>
      </c>
      <c r="AJ44" s="584">
        <f t="shared" si="122"/>
        <v>35.112000000000002</v>
      </c>
      <c r="AK44" s="584">
        <f t="shared" si="123"/>
        <v>198.43893467881946</v>
      </c>
      <c r="AL44" s="584">
        <f t="shared" si="124"/>
        <v>198.57140441176472</v>
      </c>
      <c r="AM44" s="584">
        <f t="shared" si="125"/>
        <v>1</v>
      </c>
      <c r="AN44" s="609">
        <f t="shared" si="159"/>
        <v>8</v>
      </c>
      <c r="AO44" s="718">
        <v>0.6140000000000001</v>
      </c>
      <c r="AP44" s="584">
        <f t="shared" si="96"/>
        <v>66.5</v>
      </c>
      <c r="AQ44" s="584">
        <f t="shared" si="126"/>
        <v>48.661346137152783</v>
      </c>
      <c r="AR44" s="584">
        <f t="shared" si="127"/>
        <v>1.5625000000000004</v>
      </c>
      <c r="AS44" s="584">
        <f t="shared" si="128"/>
        <v>30.324000000000002</v>
      </c>
      <c r="AT44" s="584">
        <f t="shared" si="129"/>
        <v>186.46784613715278</v>
      </c>
      <c r="AU44" s="584">
        <f t="shared" si="130"/>
        <v>186.55228676470591</v>
      </c>
      <c r="AV44" s="584">
        <f t="shared" si="131"/>
        <v>1</v>
      </c>
      <c r="AW44" s="609">
        <f t="shared" si="160"/>
        <v>8.5</v>
      </c>
      <c r="AX44" s="718">
        <v>0.69600000000000017</v>
      </c>
      <c r="AY44" s="584">
        <f t="shared" si="98"/>
        <v>78.5</v>
      </c>
      <c r="AZ44" s="584">
        <f t="shared" si="132"/>
        <v>62.591710720486105</v>
      </c>
      <c r="BA44" s="584">
        <f t="shared" si="133"/>
        <v>2.4025000000000003</v>
      </c>
      <c r="BB44" s="584">
        <f t="shared" si="134"/>
        <v>39.900000000000006</v>
      </c>
      <c r="BC44" s="584">
        <f t="shared" si="135"/>
        <v>210.81421072048613</v>
      </c>
      <c r="BD44" s="584">
        <f t="shared" si="136"/>
        <v>211.03953676470593</v>
      </c>
      <c r="BE44" s="584">
        <f t="shared" si="137"/>
        <v>1</v>
      </c>
      <c r="BF44" s="609">
        <f t="shared" si="161"/>
        <v>7.5</v>
      </c>
      <c r="BG44" s="718">
        <v>0.63700000000000001</v>
      </c>
      <c r="BH44" s="599">
        <f t="shared" si="33"/>
        <v>73.666666666666671</v>
      </c>
      <c r="BI44" s="599">
        <f t="shared" si="34"/>
        <v>39.288399209104945</v>
      </c>
      <c r="BJ44" s="584">
        <f t="shared" si="35"/>
        <v>1.8000694444444449</v>
      </c>
      <c r="BK44" s="584">
        <f t="shared" si="36"/>
        <v>33.250000000000007</v>
      </c>
      <c r="BL44" s="599">
        <f t="shared" si="37"/>
        <v>97.415135135135131</v>
      </c>
      <c r="BM44" s="584">
        <f t="shared" si="138"/>
        <v>171.75360378868453</v>
      </c>
      <c r="BN44" s="584">
        <f t="shared" si="38"/>
        <v>171.80167647058821</v>
      </c>
      <c r="BO44" s="584">
        <f t="shared" si="139"/>
        <v>1</v>
      </c>
      <c r="BP44" s="609">
        <f t="shared" si="150"/>
        <v>8.25</v>
      </c>
      <c r="BQ44" s="718">
        <v>0.68</v>
      </c>
      <c r="BR44" s="599">
        <f t="shared" si="41"/>
        <v>80.666666666666671</v>
      </c>
      <c r="BS44" s="599">
        <f t="shared" si="42"/>
        <v>46.053374614197537</v>
      </c>
      <c r="BT44" s="584">
        <f t="shared" si="43"/>
        <v>2.3002777777777785</v>
      </c>
      <c r="BU44" s="584">
        <f t="shared" si="44"/>
        <v>38.836000000000006</v>
      </c>
      <c r="BV44" s="599">
        <f t="shared" si="45"/>
        <v>97.415135135135131</v>
      </c>
      <c r="BW44" s="584">
        <f t="shared" si="140"/>
        <v>184.60478752711046</v>
      </c>
      <c r="BX44" s="584">
        <f t="shared" si="47"/>
        <v>184.90687500000001</v>
      </c>
      <c r="BY44" s="584">
        <f t="shared" si="141"/>
        <v>1</v>
      </c>
      <c r="BZ44" s="609">
        <f t="shared" si="151"/>
        <v>7.75</v>
      </c>
      <c r="CA44" s="718">
        <v>0.67100000000000004</v>
      </c>
      <c r="CB44" s="599">
        <f t="shared" si="50"/>
        <v>79.333333333333329</v>
      </c>
      <c r="CC44" s="599">
        <f t="shared" si="51"/>
        <v>44.727115354938263</v>
      </c>
      <c r="CD44" s="584">
        <f t="shared" si="52"/>
        <v>2.2002777777777767</v>
      </c>
      <c r="CE44" s="584">
        <f t="shared" si="53"/>
        <v>37.771999999999998</v>
      </c>
      <c r="CF44" s="599">
        <f t="shared" si="54"/>
        <v>97.415135135135131</v>
      </c>
      <c r="CG44" s="584">
        <f t="shared" si="142"/>
        <v>182.11452826785117</v>
      </c>
      <c r="CH44" s="584">
        <f t="shared" si="56"/>
        <v>182.17742647058827</v>
      </c>
      <c r="CI44" s="584">
        <f t="shared" si="143"/>
        <v>1</v>
      </c>
      <c r="CJ44" s="609">
        <f t="shared" si="152"/>
        <v>7.75</v>
      </c>
      <c r="CK44" s="718">
        <v>0.65100000000000002</v>
      </c>
      <c r="CL44" s="599">
        <f t="shared" si="59"/>
        <v>76</v>
      </c>
      <c r="CM44" s="599">
        <f t="shared" si="60"/>
        <v>41.489069444444439</v>
      </c>
      <c r="CN44" s="584">
        <f t="shared" si="61"/>
        <v>1.9600000000000004</v>
      </c>
      <c r="CO44" s="584">
        <f t="shared" si="62"/>
        <v>35.112000000000002</v>
      </c>
      <c r="CP44" s="599">
        <f t="shared" si="63"/>
        <v>97.415135135135131</v>
      </c>
      <c r="CQ44" s="584">
        <f t="shared" si="144"/>
        <v>175.97620457957959</v>
      </c>
      <c r="CR44" s="584">
        <f t="shared" si="65"/>
        <v>176.08639705882351</v>
      </c>
      <c r="CS44" s="584">
        <f t="shared" si="145"/>
        <v>1</v>
      </c>
      <c r="CT44" s="609">
        <f t="shared" si="153"/>
        <v>8</v>
      </c>
      <c r="CU44" s="718">
        <v>0.61599999999999999</v>
      </c>
      <c r="CV44" s="599">
        <f t="shared" si="68"/>
        <v>70</v>
      </c>
      <c r="CW44" s="599">
        <f t="shared" si="69"/>
        <v>35.939954861111104</v>
      </c>
      <c r="CX44" s="584">
        <f t="shared" si="70"/>
        <v>1.5625000000000004</v>
      </c>
      <c r="CY44" s="584">
        <f t="shared" si="71"/>
        <v>30.324000000000002</v>
      </c>
      <c r="CZ44" s="599">
        <f t="shared" si="72"/>
        <v>97.415135135135131</v>
      </c>
      <c r="DA44" s="584">
        <f t="shared" si="146"/>
        <v>165.24158999624623</v>
      </c>
      <c r="DB44" s="584">
        <f t="shared" si="74"/>
        <v>165.34216911764707</v>
      </c>
      <c r="DC44" s="584">
        <f t="shared" si="147"/>
        <v>1</v>
      </c>
      <c r="DD44" s="609">
        <f t="shared" si="154"/>
        <v>8.5</v>
      </c>
      <c r="DE44" s="718">
        <v>0.68800000000000006</v>
      </c>
      <c r="DF44" s="599">
        <f t="shared" si="77"/>
        <v>82</v>
      </c>
      <c r="DG44" s="599">
        <f t="shared" si="78"/>
        <v>47.397371527777779</v>
      </c>
      <c r="DH44" s="584">
        <f t="shared" si="79"/>
        <v>2.4025000000000003</v>
      </c>
      <c r="DI44" s="584">
        <f t="shared" si="80"/>
        <v>39.900000000000006</v>
      </c>
      <c r="DJ44" s="599">
        <f t="shared" si="81"/>
        <v>97.415135135135131</v>
      </c>
      <c r="DK44" s="584">
        <f t="shared" si="148"/>
        <v>187.11500666291292</v>
      </c>
      <c r="DL44" s="584">
        <f t="shared" si="83"/>
        <v>187.32705147058826</v>
      </c>
      <c r="DM44" s="584">
        <f t="shared" si="149"/>
        <v>1</v>
      </c>
      <c r="DN44" s="609">
        <f t="shared" si="155"/>
        <v>7.5</v>
      </c>
    </row>
    <row r="45" spans="1:118" x14ac:dyDescent="0.2">
      <c r="A45">
        <v>37</v>
      </c>
      <c r="C45" s="497">
        <v>5.75</v>
      </c>
      <c r="D45" s="606" t="s">
        <v>42</v>
      </c>
      <c r="E45" s="712">
        <v>0.65900000000000014</v>
      </c>
      <c r="F45" s="584">
        <f t="shared" si="86"/>
        <v>73.166666666666671</v>
      </c>
      <c r="G45" s="584">
        <f t="shared" si="102"/>
        <v>56.22306102912809</v>
      </c>
      <c r="H45" s="584">
        <f t="shared" si="103"/>
        <v>2.0069444444444446</v>
      </c>
      <c r="I45" s="584">
        <f t="shared" si="104"/>
        <v>35.644000000000005</v>
      </c>
      <c r="J45" s="584">
        <f t="shared" si="105"/>
        <v>199.79400547357255</v>
      </c>
      <c r="K45" s="584">
        <f t="shared" si="106"/>
        <v>200.06386764705886</v>
      </c>
      <c r="L45" s="584">
        <f t="shared" si="107"/>
        <v>1</v>
      </c>
      <c r="M45" s="609">
        <f t="shared" si="156"/>
        <v>8</v>
      </c>
      <c r="N45" s="715">
        <v>0.70800000000000018</v>
      </c>
      <c r="O45" s="584">
        <f t="shared" si="90"/>
        <v>80.166666666666671</v>
      </c>
      <c r="P45" s="584">
        <f t="shared" si="108"/>
        <v>64.640115427276243</v>
      </c>
      <c r="Q45" s="584">
        <f t="shared" si="109"/>
        <v>2.5334027777777788</v>
      </c>
      <c r="R45" s="584">
        <f t="shared" si="110"/>
        <v>41.230000000000004</v>
      </c>
      <c r="S45" s="584">
        <f t="shared" si="111"/>
        <v>214.32351820505403</v>
      </c>
      <c r="T45" s="584">
        <f t="shared" si="112"/>
        <v>214.57327205882359</v>
      </c>
      <c r="U45" s="584">
        <f t="shared" si="113"/>
        <v>1</v>
      </c>
      <c r="V45" s="609">
        <f t="shared" si="157"/>
        <v>7.25</v>
      </c>
      <c r="W45" s="718">
        <v>0.69800000000000018</v>
      </c>
      <c r="X45" s="584">
        <f t="shared" si="92"/>
        <v>78.833333333333329</v>
      </c>
      <c r="Y45" s="584">
        <f t="shared" si="114"/>
        <v>62.999174455054003</v>
      </c>
      <c r="Z45" s="584">
        <f t="shared" si="115"/>
        <v>2.428402777777777</v>
      </c>
      <c r="AA45" s="584">
        <f t="shared" si="116"/>
        <v>40.165999999999997</v>
      </c>
      <c r="AB45" s="584">
        <f t="shared" si="117"/>
        <v>211.51357723283178</v>
      </c>
      <c r="AC45" s="584">
        <f t="shared" si="118"/>
        <v>211.62937500000001</v>
      </c>
      <c r="AD45" s="584">
        <f t="shared" si="119"/>
        <v>1</v>
      </c>
      <c r="AE45" s="609">
        <f t="shared" si="158"/>
        <v>7.5</v>
      </c>
      <c r="AF45" s="718">
        <v>0.67500000000000016</v>
      </c>
      <c r="AG45" s="584">
        <f t="shared" si="94"/>
        <v>75.5</v>
      </c>
      <c r="AH45" s="584">
        <f t="shared" si="120"/>
        <v>58.97442426215278</v>
      </c>
      <c r="AI45" s="584">
        <f t="shared" si="121"/>
        <v>2.1756250000000001</v>
      </c>
      <c r="AJ45" s="584">
        <f t="shared" si="122"/>
        <v>37.506</v>
      </c>
      <c r="AK45" s="584">
        <f t="shared" si="123"/>
        <v>204.57604926215276</v>
      </c>
      <c r="AL45" s="584">
        <f t="shared" si="124"/>
        <v>204.82492647058831</v>
      </c>
      <c r="AM45" s="584">
        <f t="shared" si="125"/>
        <v>1</v>
      </c>
      <c r="AN45" s="609">
        <f t="shared" si="159"/>
        <v>7.75</v>
      </c>
      <c r="AO45" s="718">
        <v>0.63400000000000012</v>
      </c>
      <c r="AP45" s="584">
        <f t="shared" si="96"/>
        <v>69.5</v>
      </c>
      <c r="AQ45" s="584">
        <f t="shared" si="126"/>
        <v>52.009241970486109</v>
      </c>
      <c r="AR45" s="584">
        <f t="shared" si="127"/>
        <v>1.755625</v>
      </c>
      <c r="AS45" s="584">
        <f t="shared" si="128"/>
        <v>32.718000000000004</v>
      </c>
      <c r="AT45" s="584">
        <f t="shared" si="129"/>
        <v>192.40286697048612</v>
      </c>
      <c r="AU45" s="584">
        <f t="shared" si="130"/>
        <v>192.57949264705883</v>
      </c>
      <c r="AV45" s="584">
        <f t="shared" si="131"/>
        <v>1</v>
      </c>
      <c r="AW45" s="609">
        <f t="shared" si="160"/>
        <v>8.25</v>
      </c>
      <c r="AX45" s="718">
        <v>0.71700000000000019</v>
      </c>
      <c r="AY45" s="584">
        <f t="shared" si="98"/>
        <v>81.5</v>
      </c>
      <c r="AZ45" s="584">
        <f t="shared" si="132"/>
        <v>66.298794053819449</v>
      </c>
      <c r="BA45" s="584">
        <f t="shared" si="133"/>
        <v>2.6406250000000004</v>
      </c>
      <c r="BB45" s="584">
        <f t="shared" si="134"/>
        <v>42.294000000000004</v>
      </c>
      <c r="BC45" s="584">
        <f t="shared" si="135"/>
        <v>217.15341905381945</v>
      </c>
      <c r="BD45" s="584">
        <f t="shared" si="136"/>
        <v>217.21523529411772</v>
      </c>
      <c r="BE45" s="584">
        <f t="shared" si="137"/>
        <v>1</v>
      </c>
      <c r="BF45" s="609">
        <f t="shared" si="161"/>
        <v>7.25</v>
      </c>
      <c r="BG45" s="718">
        <v>0.65500000000000003</v>
      </c>
      <c r="BH45" s="599">
        <f t="shared" si="33"/>
        <v>76.666666666666671</v>
      </c>
      <c r="BI45" s="599">
        <f t="shared" si="34"/>
        <v>42.127809799382725</v>
      </c>
      <c r="BJ45" s="584">
        <f t="shared" si="35"/>
        <v>2.0069444444444446</v>
      </c>
      <c r="BK45" s="584">
        <f t="shared" si="36"/>
        <v>35.644000000000005</v>
      </c>
      <c r="BL45" s="599">
        <f t="shared" si="37"/>
        <v>97.415135135135131</v>
      </c>
      <c r="BM45" s="584">
        <f t="shared" si="138"/>
        <v>177.1938893789623</v>
      </c>
      <c r="BN45" s="584">
        <f t="shared" si="38"/>
        <v>177.30742647058827</v>
      </c>
      <c r="BO45" s="584">
        <f t="shared" si="139"/>
        <v>1</v>
      </c>
      <c r="BP45" s="609">
        <f t="shared" si="150"/>
        <v>8</v>
      </c>
      <c r="BQ45" s="718">
        <v>0.69800000000000006</v>
      </c>
      <c r="BR45" s="599">
        <f t="shared" si="41"/>
        <v>83.666666666666671</v>
      </c>
      <c r="BS45" s="599">
        <f t="shared" si="42"/>
        <v>49.10231124614198</v>
      </c>
      <c r="BT45" s="584">
        <f t="shared" si="43"/>
        <v>2.5334027777777788</v>
      </c>
      <c r="BU45" s="584">
        <f t="shared" si="44"/>
        <v>41.230000000000004</v>
      </c>
      <c r="BV45" s="599">
        <f t="shared" si="45"/>
        <v>97.415135135135131</v>
      </c>
      <c r="BW45" s="584">
        <f t="shared" si="140"/>
        <v>190.2808491590549</v>
      </c>
      <c r="BX45" s="584">
        <f t="shared" si="47"/>
        <v>190.34433088235295</v>
      </c>
      <c r="BY45" s="584">
        <f t="shared" si="141"/>
        <v>1</v>
      </c>
      <c r="BZ45" s="609">
        <f t="shared" si="151"/>
        <v>7.5</v>
      </c>
      <c r="CA45" s="718">
        <v>0.69000000000000006</v>
      </c>
      <c r="CB45" s="599">
        <f t="shared" si="50"/>
        <v>82.333333333333329</v>
      </c>
      <c r="CC45" s="599">
        <f t="shared" si="51"/>
        <v>47.736142264660501</v>
      </c>
      <c r="CD45" s="584">
        <f t="shared" si="52"/>
        <v>2.428402777777777</v>
      </c>
      <c r="CE45" s="584">
        <f t="shared" si="53"/>
        <v>40.165999999999997</v>
      </c>
      <c r="CF45" s="599">
        <f t="shared" si="54"/>
        <v>97.415135135135131</v>
      </c>
      <c r="CG45" s="584">
        <f t="shared" si="142"/>
        <v>187.7456801775734</v>
      </c>
      <c r="CH45" s="584">
        <f t="shared" si="56"/>
        <v>187.93121323529414</v>
      </c>
      <c r="CI45" s="584">
        <f t="shared" si="143"/>
        <v>1</v>
      </c>
      <c r="CJ45" s="609">
        <f t="shared" si="152"/>
        <v>7.5</v>
      </c>
      <c r="CK45" s="718">
        <v>0.66900000000000004</v>
      </c>
      <c r="CL45" s="599">
        <f t="shared" si="59"/>
        <v>79</v>
      </c>
      <c r="CM45" s="599">
        <f t="shared" si="60"/>
        <v>44.398322048611107</v>
      </c>
      <c r="CN45" s="584">
        <f t="shared" si="61"/>
        <v>2.1756250000000001</v>
      </c>
      <c r="CO45" s="584">
        <f t="shared" si="62"/>
        <v>37.506</v>
      </c>
      <c r="CP45" s="599">
        <f t="shared" si="63"/>
        <v>97.415135135135131</v>
      </c>
      <c r="CQ45" s="584">
        <f t="shared" si="144"/>
        <v>181.49508218374623</v>
      </c>
      <c r="CR45" s="584">
        <f t="shared" si="65"/>
        <v>181.56991176470592</v>
      </c>
      <c r="CS45" s="584">
        <f t="shared" si="145"/>
        <v>1</v>
      </c>
      <c r="CT45" s="609">
        <f t="shared" si="153"/>
        <v>7.75</v>
      </c>
      <c r="CU45" s="718">
        <v>0.63300000000000001</v>
      </c>
      <c r="CV45" s="599">
        <f t="shared" si="68"/>
        <v>73</v>
      </c>
      <c r="CW45" s="599">
        <f t="shared" si="69"/>
        <v>38.669613715277777</v>
      </c>
      <c r="CX45" s="584">
        <f t="shared" si="70"/>
        <v>1.755625</v>
      </c>
      <c r="CY45" s="584">
        <f t="shared" si="71"/>
        <v>32.718000000000004</v>
      </c>
      <c r="CZ45" s="599">
        <f t="shared" si="72"/>
        <v>97.415135135135131</v>
      </c>
      <c r="DA45" s="584">
        <f t="shared" si="146"/>
        <v>170.55837385041292</v>
      </c>
      <c r="DB45" s="584">
        <f t="shared" si="74"/>
        <v>170.57429411764704</v>
      </c>
      <c r="DC45" s="584">
        <f t="shared" si="147"/>
        <v>1</v>
      </c>
      <c r="DD45" s="609">
        <f t="shared" si="154"/>
        <v>8.25</v>
      </c>
      <c r="DE45" s="718">
        <v>0.70700000000000007</v>
      </c>
      <c r="DF45" s="599">
        <f t="shared" si="77"/>
        <v>85</v>
      </c>
      <c r="DG45" s="599">
        <f t="shared" si="78"/>
        <v>50.486217881944441</v>
      </c>
      <c r="DH45" s="584">
        <f t="shared" si="79"/>
        <v>2.6406250000000004</v>
      </c>
      <c r="DI45" s="584">
        <f t="shared" si="80"/>
        <v>42.294000000000004</v>
      </c>
      <c r="DJ45" s="599">
        <f t="shared" si="81"/>
        <v>97.415135135135131</v>
      </c>
      <c r="DK45" s="584">
        <f t="shared" si="148"/>
        <v>192.83597801707958</v>
      </c>
      <c r="DL45" s="584">
        <f t="shared" si="83"/>
        <v>193.05233823529414</v>
      </c>
      <c r="DM45" s="584">
        <f t="shared" si="149"/>
        <v>1</v>
      </c>
      <c r="DN45" s="609">
        <f t="shared" si="155"/>
        <v>7.25</v>
      </c>
    </row>
    <row r="46" spans="1:118" ht="13.5" thickBot="1" x14ac:dyDescent="0.25">
      <c r="A46">
        <v>38</v>
      </c>
      <c r="C46" s="499">
        <v>6</v>
      </c>
      <c r="D46" s="607" t="s">
        <v>42</v>
      </c>
      <c r="E46" s="713">
        <v>0.67900000000000016</v>
      </c>
      <c r="F46" s="603">
        <f t="shared" si="86"/>
        <v>76.166666666666671</v>
      </c>
      <c r="G46" s="603">
        <f t="shared" si="102"/>
        <v>59.770505473572527</v>
      </c>
      <c r="H46" s="603">
        <f t="shared" si="103"/>
        <v>2.2250694444444443</v>
      </c>
      <c r="I46" s="603">
        <f t="shared" si="104"/>
        <v>38.038000000000004</v>
      </c>
      <c r="J46" s="603">
        <f t="shared" si="105"/>
        <v>205.95357491801695</v>
      </c>
      <c r="K46" s="603">
        <f t="shared" si="106"/>
        <v>206.01166176470596</v>
      </c>
      <c r="L46" s="603">
        <f t="shared" si="107"/>
        <v>1</v>
      </c>
      <c r="M46" s="610">
        <f t="shared" si="156"/>
        <v>7.75</v>
      </c>
      <c r="N46" s="716">
        <v>0.7290000000000002</v>
      </c>
      <c r="O46" s="603">
        <f t="shared" si="90"/>
        <v>83.166666666666671</v>
      </c>
      <c r="P46" s="603">
        <f t="shared" si="108"/>
        <v>68.397085913387357</v>
      </c>
      <c r="Q46" s="603">
        <f t="shared" si="109"/>
        <v>2.777777777777779</v>
      </c>
      <c r="R46" s="603">
        <f t="shared" si="110"/>
        <v>43.624000000000009</v>
      </c>
      <c r="S46" s="603">
        <f t="shared" si="111"/>
        <v>220.71886369116515</v>
      </c>
      <c r="T46" s="603">
        <f t="shared" si="112"/>
        <v>220.72673529411773</v>
      </c>
      <c r="U46" s="603">
        <f t="shared" si="113"/>
        <v>1</v>
      </c>
      <c r="V46" s="610">
        <f t="shared" si="157"/>
        <v>7</v>
      </c>
      <c r="W46" s="719">
        <v>0.7200000000000002</v>
      </c>
      <c r="X46" s="603">
        <f t="shared" si="92"/>
        <v>81.833333333333329</v>
      </c>
      <c r="Y46" s="603">
        <f t="shared" si="114"/>
        <v>66.716235218942884</v>
      </c>
      <c r="Z46" s="603">
        <f t="shared" si="115"/>
        <v>2.6677777777777774</v>
      </c>
      <c r="AA46" s="603">
        <f t="shared" si="116"/>
        <v>42.559999999999995</v>
      </c>
      <c r="AB46" s="603">
        <f t="shared" si="117"/>
        <v>217.86401299672065</v>
      </c>
      <c r="AC46" s="603">
        <f t="shared" si="118"/>
        <v>218.09430147058828</v>
      </c>
      <c r="AD46" s="603">
        <f t="shared" si="119"/>
        <v>1</v>
      </c>
      <c r="AE46" s="610">
        <f t="shared" si="158"/>
        <v>7.25</v>
      </c>
      <c r="AF46" s="719">
        <v>0.69600000000000017</v>
      </c>
      <c r="AG46" s="603">
        <f t="shared" si="94"/>
        <v>78.5</v>
      </c>
      <c r="AH46" s="603">
        <f t="shared" si="120"/>
        <v>62.591710720486105</v>
      </c>
      <c r="AI46" s="603">
        <f t="shared" si="121"/>
        <v>2.4025000000000003</v>
      </c>
      <c r="AJ46" s="603">
        <f t="shared" si="122"/>
        <v>39.900000000000006</v>
      </c>
      <c r="AK46" s="603">
        <f t="shared" si="123"/>
        <v>210.81421072048613</v>
      </c>
      <c r="AL46" s="603">
        <f t="shared" si="124"/>
        <v>211.03953676470593</v>
      </c>
      <c r="AM46" s="603">
        <f t="shared" si="125"/>
        <v>1</v>
      </c>
      <c r="AN46" s="610">
        <f t="shared" si="159"/>
        <v>7.5</v>
      </c>
      <c r="AO46" s="719">
        <v>0.65400000000000014</v>
      </c>
      <c r="AP46" s="603">
        <f t="shared" si="96"/>
        <v>72.5</v>
      </c>
      <c r="AQ46" s="603">
        <f t="shared" si="126"/>
        <v>55.446934678819446</v>
      </c>
      <c r="AR46" s="603">
        <f t="shared" si="127"/>
        <v>1.9600000000000004</v>
      </c>
      <c r="AS46" s="603">
        <f t="shared" si="128"/>
        <v>35.112000000000002</v>
      </c>
      <c r="AT46" s="603">
        <f t="shared" si="129"/>
        <v>198.43893467881946</v>
      </c>
      <c r="AU46" s="603">
        <f t="shared" si="130"/>
        <v>198.57140441176472</v>
      </c>
      <c r="AV46" s="603">
        <f t="shared" si="131"/>
        <v>1</v>
      </c>
      <c r="AW46" s="610">
        <f t="shared" si="160"/>
        <v>8</v>
      </c>
      <c r="AX46" s="719">
        <v>0.73900000000000021</v>
      </c>
      <c r="AY46" s="603">
        <f t="shared" si="98"/>
        <v>84.5</v>
      </c>
      <c r="AZ46" s="603">
        <f t="shared" si="132"/>
        <v>70.095674262152784</v>
      </c>
      <c r="BA46" s="603">
        <f t="shared" si="133"/>
        <v>2.8900000000000006</v>
      </c>
      <c r="BB46" s="603">
        <f t="shared" si="134"/>
        <v>44.688000000000002</v>
      </c>
      <c r="BC46" s="603">
        <f t="shared" si="135"/>
        <v>223.59367426215277</v>
      </c>
      <c r="BD46" s="603">
        <f t="shared" si="136"/>
        <v>223.64327941176475</v>
      </c>
      <c r="BE46" s="603">
        <f t="shared" si="137"/>
        <v>1</v>
      </c>
      <c r="BF46" s="610">
        <f t="shared" si="161"/>
        <v>7</v>
      </c>
      <c r="BG46" s="719">
        <v>0.67300000000000004</v>
      </c>
      <c r="BH46" s="603">
        <f t="shared" si="33"/>
        <v>79.666666666666671</v>
      </c>
      <c r="BI46" s="603">
        <f t="shared" si="34"/>
        <v>45.057017264660495</v>
      </c>
      <c r="BJ46" s="603">
        <f t="shared" si="35"/>
        <v>2.2250694444444443</v>
      </c>
      <c r="BK46" s="603">
        <f t="shared" si="36"/>
        <v>38.038000000000004</v>
      </c>
      <c r="BL46" s="603">
        <f t="shared" si="37"/>
        <v>97.415135135135131</v>
      </c>
      <c r="BM46" s="603">
        <f t="shared" si="138"/>
        <v>182.73522184424007</v>
      </c>
      <c r="BN46" s="603">
        <f t="shared" si="38"/>
        <v>182.78458823529414</v>
      </c>
      <c r="BO46" s="603">
        <f t="shared" si="139"/>
        <v>1</v>
      </c>
      <c r="BP46" s="610">
        <f t="shared" si="150"/>
        <v>7.75</v>
      </c>
      <c r="BQ46" s="719">
        <v>0.71800000000000008</v>
      </c>
      <c r="BR46" s="603">
        <f t="shared" si="41"/>
        <v>86.666666666666671</v>
      </c>
      <c r="BS46" s="603">
        <f t="shared" si="42"/>
        <v>52.24104475308642</v>
      </c>
      <c r="BT46" s="603">
        <f t="shared" si="43"/>
        <v>2.777777777777779</v>
      </c>
      <c r="BU46" s="603">
        <f t="shared" si="44"/>
        <v>43.624000000000009</v>
      </c>
      <c r="BV46" s="603">
        <f t="shared" si="45"/>
        <v>97.415135135135131</v>
      </c>
      <c r="BW46" s="603">
        <f t="shared" si="140"/>
        <v>196.05795766599934</v>
      </c>
      <c r="BX46" s="603">
        <f t="shared" si="47"/>
        <v>196.35241911764706</v>
      </c>
      <c r="BY46" s="603">
        <f t="shared" si="141"/>
        <v>1</v>
      </c>
      <c r="BZ46" s="610">
        <f t="shared" si="151"/>
        <v>7.25</v>
      </c>
      <c r="CA46" s="719">
        <v>0.70900000000000007</v>
      </c>
      <c r="CB46" s="603">
        <f t="shared" si="50"/>
        <v>85.333333333333329</v>
      </c>
      <c r="CC46" s="603">
        <f t="shared" si="51"/>
        <v>50.834966049382714</v>
      </c>
      <c r="CD46" s="603">
        <f t="shared" si="52"/>
        <v>2.6677777777777774</v>
      </c>
      <c r="CE46" s="603">
        <f t="shared" si="53"/>
        <v>42.559999999999995</v>
      </c>
      <c r="CF46" s="603">
        <f t="shared" si="54"/>
        <v>97.415135135135131</v>
      </c>
      <c r="CG46" s="603">
        <f t="shared" si="142"/>
        <v>193.47787896229562</v>
      </c>
      <c r="CH46" s="603">
        <f t="shared" si="56"/>
        <v>193.65314705882358</v>
      </c>
      <c r="CI46" s="603">
        <f t="shared" si="143"/>
        <v>1</v>
      </c>
      <c r="CJ46" s="610">
        <f t="shared" si="152"/>
        <v>7.25</v>
      </c>
      <c r="CK46" s="719">
        <v>0.68800000000000006</v>
      </c>
      <c r="CL46" s="603">
        <f t="shared" si="59"/>
        <v>82</v>
      </c>
      <c r="CM46" s="603">
        <f t="shared" si="60"/>
        <v>47.397371527777779</v>
      </c>
      <c r="CN46" s="603">
        <f t="shared" si="61"/>
        <v>2.4025000000000003</v>
      </c>
      <c r="CO46" s="603">
        <f t="shared" si="62"/>
        <v>39.900000000000006</v>
      </c>
      <c r="CP46" s="603">
        <f t="shared" si="63"/>
        <v>97.415135135135131</v>
      </c>
      <c r="CQ46" s="603">
        <f t="shared" si="144"/>
        <v>187.11500666291292</v>
      </c>
      <c r="CR46" s="603">
        <f t="shared" si="65"/>
        <v>187.32705147058826</v>
      </c>
      <c r="CS46" s="603">
        <f t="shared" si="145"/>
        <v>1</v>
      </c>
      <c r="CT46" s="610">
        <f t="shared" si="153"/>
        <v>7.5</v>
      </c>
      <c r="CU46" s="719">
        <v>0.65100000000000002</v>
      </c>
      <c r="CV46" s="603">
        <f t="shared" si="68"/>
        <v>76</v>
      </c>
      <c r="CW46" s="603">
        <f t="shared" si="69"/>
        <v>41.489069444444439</v>
      </c>
      <c r="CX46" s="603">
        <f t="shared" si="70"/>
        <v>1.9600000000000004</v>
      </c>
      <c r="CY46" s="603">
        <f t="shared" si="71"/>
        <v>35.112000000000002</v>
      </c>
      <c r="CZ46" s="603">
        <f t="shared" si="72"/>
        <v>97.415135135135131</v>
      </c>
      <c r="DA46" s="603">
        <f t="shared" si="146"/>
        <v>175.97620457957959</v>
      </c>
      <c r="DB46" s="603">
        <f t="shared" si="74"/>
        <v>176.08639705882351</v>
      </c>
      <c r="DC46" s="603">
        <f t="shared" si="147"/>
        <v>1</v>
      </c>
      <c r="DD46" s="610">
        <f t="shared" si="154"/>
        <v>8</v>
      </c>
      <c r="DE46" s="719">
        <v>0.72600000000000009</v>
      </c>
      <c r="DF46" s="603">
        <f t="shared" si="77"/>
        <v>88</v>
      </c>
      <c r="DG46" s="603">
        <f t="shared" si="78"/>
        <v>53.664861111111094</v>
      </c>
      <c r="DH46" s="603">
        <f t="shared" si="79"/>
        <v>2.8900000000000006</v>
      </c>
      <c r="DI46" s="603">
        <f t="shared" si="80"/>
        <v>44.688000000000002</v>
      </c>
      <c r="DJ46" s="603">
        <f t="shared" si="81"/>
        <v>97.415135135135131</v>
      </c>
      <c r="DK46" s="603">
        <f t="shared" si="148"/>
        <v>198.65799624624623</v>
      </c>
      <c r="DL46" s="603">
        <f t="shared" si="83"/>
        <v>198.74577205882355</v>
      </c>
      <c r="DM46" s="603">
        <f t="shared" si="149"/>
        <v>1</v>
      </c>
      <c r="DN46" s="610">
        <f t="shared" si="155"/>
        <v>7.25</v>
      </c>
    </row>
    <row r="47" spans="1:118" x14ac:dyDescent="0.2">
      <c r="E47" s="162"/>
      <c r="N47" s="162"/>
      <c r="W47" s="162"/>
      <c r="AF47" s="162"/>
      <c r="AO47" s="162"/>
      <c r="AX47" s="162"/>
      <c r="BG47" s="162"/>
      <c r="BQ47" s="162"/>
      <c r="CA47" s="162"/>
      <c r="CK47" s="162"/>
      <c r="CU47" s="162"/>
      <c r="DE47" s="162"/>
    </row>
    <row r="48" spans="1:118" x14ac:dyDescent="0.2">
      <c r="C48" s="74" t="s">
        <v>519</v>
      </c>
      <c r="D48">
        <v>16.5</v>
      </c>
    </row>
    <row r="49" spans="3:13" x14ac:dyDescent="0.2">
      <c r="C49" s="2" t="s">
        <v>520</v>
      </c>
      <c r="D49">
        <v>8</v>
      </c>
    </row>
    <row r="50" spans="3:13" x14ac:dyDescent="0.2">
      <c r="C50" s="2" t="s">
        <v>626</v>
      </c>
      <c r="D50">
        <v>8.6300000000000008</v>
      </c>
    </row>
    <row r="51" spans="3:13" x14ac:dyDescent="0.2">
      <c r="C51" s="74" t="s">
        <v>521</v>
      </c>
      <c r="D51">
        <v>350</v>
      </c>
    </row>
    <row r="52" spans="3:13" x14ac:dyDescent="0.2">
      <c r="C52" s="74" t="s">
        <v>522</v>
      </c>
      <c r="D52" s="2">
        <v>10</v>
      </c>
    </row>
    <row r="53" spans="3:13" x14ac:dyDescent="0.2">
      <c r="C53" s="74" t="s">
        <v>523</v>
      </c>
      <c r="D53" s="2">
        <v>140</v>
      </c>
      <c r="J53" s="500"/>
    </row>
    <row r="54" spans="3:13" x14ac:dyDescent="0.2">
      <c r="C54" s="74" t="s">
        <v>524</v>
      </c>
      <c r="D54" s="2">
        <v>105.92</v>
      </c>
    </row>
    <row r="55" spans="3:13" x14ac:dyDescent="0.2">
      <c r="C55" s="74" t="s">
        <v>525</v>
      </c>
      <c r="D55" s="2">
        <v>5.33</v>
      </c>
      <c r="M55" s="456"/>
    </row>
    <row r="56" spans="3:13" x14ac:dyDescent="0.2">
      <c r="C56" s="74" t="s">
        <v>526</v>
      </c>
      <c r="D56" s="2">
        <v>60</v>
      </c>
    </row>
    <row r="57" spans="3:13" x14ac:dyDescent="0.2">
      <c r="C57" s="74" t="s">
        <v>527</v>
      </c>
      <c r="D57" s="2">
        <v>4</v>
      </c>
    </row>
    <row r="58" spans="3:13" x14ac:dyDescent="0.2">
      <c r="C58" s="74" t="s">
        <v>528</v>
      </c>
      <c r="D58" s="2">
        <f>6-1/8</f>
        <v>5.875</v>
      </c>
      <c r="F58" s="456" t="s">
        <v>656</v>
      </c>
    </row>
    <row r="59" spans="3:13" x14ac:dyDescent="0.2">
      <c r="C59" s="74" t="s">
        <v>529</v>
      </c>
      <c r="D59" s="2">
        <v>1</v>
      </c>
    </row>
    <row r="60" spans="3:13" x14ac:dyDescent="0.2">
      <c r="C60" s="74" t="s">
        <v>530</v>
      </c>
      <c r="D60" s="2">
        <v>0.42</v>
      </c>
    </row>
    <row r="61" spans="3:13" x14ac:dyDescent="0.2">
      <c r="C61" s="720" t="s">
        <v>655</v>
      </c>
      <c r="D61" s="2">
        <v>0.56999999999999995</v>
      </c>
    </row>
    <row r="63" spans="3:13" x14ac:dyDescent="0.2">
      <c r="C63" s="74" t="s">
        <v>531</v>
      </c>
      <c r="D63" s="2">
        <v>20</v>
      </c>
    </row>
    <row r="64" spans="3:13" x14ac:dyDescent="0.2">
      <c r="C64" s="74" t="s">
        <v>532</v>
      </c>
      <c r="D64" s="2">
        <v>157.19999999999999</v>
      </c>
    </row>
    <row r="65" spans="3:4" x14ac:dyDescent="0.2">
      <c r="C65" s="74" t="s">
        <v>533</v>
      </c>
      <c r="D65" s="2">
        <v>901.09</v>
      </c>
    </row>
    <row r="66" spans="3:4" x14ac:dyDescent="0.2">
      <c r="C66" s="74" t="s">
        <v>534</v>
      </c>
      <c r="D66" s="2">
        <v>14.11</v>
      </c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RailOverhangChartBuilder">
                <anchor moveWithCells="1" sizeWithCells="1">
                  <from>
                    <xdr:col>9</xdr:col>
                    <xdr:colOff>228600</xdr:colOff>
                    <xdr:row>1</xdr:row>
                    <xdr:rowOff>28575</xdr:rowOff>
                  </from>
                  <to>
                    <xdr:col>11</xdr:col>
                    <xdr:colOff>333375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3:Q82"/>
  <sheetViews>
    <sheetView workbookViewId="0">
      <selection activeCell="D7" sqref="D7"/>
    </sheetView>
  </sheetViews>
  <sheetFormatPr defaultRowHeight="12.75" x14ac:dyDescent="0.2"/>
  <sheetData>
    <row r="3" spans="2:17" x14ac:dyDescent="0.2">
      <c r="B3" t="s">
        <v>625</v>
      </c>
      <c r="N3" t="s">
        <v>166</v>
      </c>
    </row>
    <row r="4" spans="2:17" x14ac:dyDescent="0.2">
      <c r="C4" t="s">
        <v>159</v>
      </c>
    </row>
    <row r="5" spans="2:17" x14ac:dyDescent="0.2">
      <c r="C5" t="s">
        <v>160</v>
      </c>
      <c r="O5" t="s">
        <v>167</v>
      </c>
    </row>
    <row r="6" spans="2:17" x14ac:dyDescent="0.2">
      <c r="C6" t="s">
        <v>161</v>
      </c>
      <c r="P6" t="s">
        <v>171</v>
      </c>
    </row>
    <row r="7" spans="2:17" x14ac:dyDescent="0.2">
      <c r="C7" t="s">
        <v>162</v>
      </c>
      <c r="Q7" t="s">
        <v>173</v>
      </c>
    </row>
    <row r="8" spans="2:17" x14ac:dyDescent="0.2">
      <c r="C8" t="s">
        <v>163</v>
      </c>
      <c r="P8" t="s">
        <v>63</v>
      </c>
      <c r="Q8" t="s">
        <v>168</v>
      </c>
    </row>
    <row r="9" spans="2:17" x14ac:dyDescent="0.2">
      <c r="C9" t="s">
        <v>164</v>
      </c>
      <c r="Q9" t="s">
        <v>169</v>
      </c>
    </row>
    <row r="10" spans="2:17" x14ac:dyDescent="0.2">
      <c r="C10" t="s">
        <v>165</v>
      </c>
      <c r="Q10" t="s">
        <v>170</v>
      </c>
    </row>
    <row r="12" spans="2:17" x14ac:dyDescent="0.2">
      <c r="Q12" t="s">
        <v>172</v>
      </c>
    </row>
    <row r="13" spans="2:17" x14ac:dyDescent="0.2">
      <c r="B13" t="s">
        <v>367</v>
      </c>
      <c r="Q13" t="s">
        <v>174</v>
      </c>
    </row>
    <row r="14" spans="2:17" ht="14.25" x14ac:dyDescent="0.2">
      <c r="C14" t="s">
        <v>373</v>
      </c>
    </row>
    <row r="15" spans="2:17" x14ac:dyDescent="0.2">
      <c r="E15" t="s">
        <v>371</v>
      </c>
      <c r="F15" t="s">
        <v>372</v>
      </c>
    </row>
    <row r="16" spans="2:17" x14ac:dyDescent="0.2">
      <c r="D16" t="s">
        <v>368</v>
      </c>
      <c r="E16">
        <v>0.125</v>
      </c>
      <c r="F16">
        <v>6.25E-2</v>
      </c>
      <c r="N16" t="s">
        <v>183</v>
      </c>
    </row>
    <row r="17" spans="3:15" x14ac:dyDescent="0.2">
      <c r="D17" t="s">
        <v>369</v>
      </c>
      <c r="E17">
        <v>0.1</v>
      </c>
      <c r="F17">
        <v>0.08</v>
      </c>
      <c r="O17" t="s">
        <v>175</v>
      </c>
    </row>
    <row r="18" spans="3:15" x14ac:dyDescent="0.2">
      <c r="D18" t="s">
        <v>370</v>
      </c>
      <c r="E18">
        <v>0.1071</v>
      </c>
      <c r="F18">
        <v>7.7200000000000005E-2</v>
      </c>
      <c r="O18" t="s">
        <v>176</v>
      </c>
    </row>
    <row r="19" spans="3:15" x14ac:dyDescent="0.2">
      <c r="D19" t="s">
        <v>374</v>
      </c>
      <c r="E19">
        <v>0.105</v>
      </c>
      <c r="F19">
        <v>7.8E-2</v>
      </c>
      <c r="O19" t="s">
        <v>177</v>
      </c>
    </row>
    <row r="21" spans="3:15" ht="14.25" x14ac:dyDescent="0.2">
      <c r="C21" t="s">
        <v>375</v>
      </c>
      <c r="G21" t="s">
        <v>377</v>
      </c>
      <c r="N21" t="s">
        <v>182</v>
      </c>
    </row>
    <row r="22" spans="3:15" x14ac:dyDescent="0.2">
      <c r="E22" t="s">
        <v>371</v>
      </c>
      <c r="F22" t="s">
        <v>372</v>
      </c>
      <c r="G22" t="s">
        <v>371</v>
      </c>
      <c r="O22" t="s">
        <v>178</v>
      </c>
    </row>
    <row r="23" spans="3:15" x14ac:dyDescent="0.2">
      <c r="D23" t="s">
        <v>368</v>
      </c>
      <c r="E23">
        <v>0.1094</v>
      </c>
      <c r="F23">
        <v>5.8000000000000003E-2</v>
      </c>
      <c r="G23">
        <f>E23</f>
        <v>0.1094</v>
      </c>
      <c r="O23" t="s">
        <v>179</v>
      </c>
    </row>
    <row r="24" spans="3:15" x14ac:dyDescent="0.2">
      <c r="D24" t="s">
        <v>369</v>
      </c>
      <c r="E24">
        <v>9.3700000000000006E-2</v>
      </c>
      <c r="F24">
        <v>6.4000000000000001E-2</v>
      </c>
      <c r="G24">
        <f>E24</f>
        <v>9.3700000000000006E-2</v>
      </c>
      <c r="O24" t="s">
        <v>180</v>
      </c>
    </row>
    <row r="25" spans="3:15" x14ac:dyDescent="0.2">
      <c r="D25" t="s">
        <v>370</v>
      </c>
      <c r="E25">
        <v>9.8000000000000004E-2</v>
      </c>
      <c r="F25">
        <v>6.3E-2</v>
      </c>
      <c r="G25">
        <f>E25</f>
        <v>9.8000000000000004E-2</v>
      </c>
      <c r="O25" t="s">
        <v>181</v>
      </c>
    </row>
    <row r="26" spans="3:15" x14ac:dyDescent="0.2">
      <c r="D26" t="s">
        <v>374</v>
      </c>
      <c r="E26">
        <v>9.7000000000000003E-2</v>
      </c>
      <c r="F26">
        <v>6.3E-2</v>
      </c>
      <c r="G26">
        <f>E26</f>
        <v>9.7000000000000003E-2</v>
      </c>
    </row>
    <row r="27" spans="3:15" x14ac:dyDescent="0.2">
      <c r="N27" t="s">
        <v>188</v>
      </c>
    </row>
    <row r="28" spans="3:15" ht="14.25" x14ac:dyDescent="0.2">
      <c r="C28" t="s">
        <v>376</v>
      </c>
      <c r="G28" t="s">
        <v>377</v>
      </c>
      <c r="O28" t="s">
        <v>617</v>
      </c>
    </row>
    <row r="29" spans="3:15" x14ac:dyDescent="0.2">
      <c r="E29" t="s">
        <v>371</v>
      </c>
      <c r="F29" t="s">
        <v>372</v>
      </c>
      <c r="G29" t="s">
        <v>371</v>
      </c>
      <c r="O29" t="s">
        <v>184</v>
      </c>
    </row>
    <row r="30" spans="3:15" x14ac:dyDescent="0.2">
      <c r="D30" t="s">
        <v>368</v>
      </c>
      <c r="E30">
        <v>0.125</v>
      </c>
      <c r="F30">
        <v>3.3000000000000002E-2</v>
      </c>
      <c r="G30">
        <v>6.3E-2</v>
      </c>
      <c r="O30" t="s">
        <v>185</v>
      </c>
    </row>
    <row r="31" spans="3:15" x14ac:dyDescent="0.2">
      <c r="D31" t="s">
        <v>369</v>
      </c>
      <c r="E31">
        <v>0.125</v>
      </c>
      <c r="F31">
        <v>0.05</v>
      </c>
      <c r="G31">
        <v>7.4999999999999997E-2</v>
      </c>
      <c r="O31" t="s">
        <v>186</v>
      </c>
    </row>
    <row r="32" spans="3:15" x14ac:dyDescent="0.2">
      <c r="D32" t="s">
        <v>370</v>
      </c>
      <c r="E32">
        <v>0.125</v>
      </c>
      <c r="F32">
        <v>4.4999999999999998E-2</v>
      </c>
      <c r="G32">
        <v>8.9200000000000002E-2</v>
      </c>
      <c r="O32" t="s">
        <v>187</v>
      </c>
    </row>
    <row r="33" spans="2:15" x14ac:dyDescent="0.2">
      <c r="D33" t="s">
        <v>374</v>
      </c>
      <c r="E33">
        <v>0.125</v>
      </c>
      <c r="F33">
        <v>4.5999999999999999E-2</v>
      </c>
      <c r="G33">
        <v>8.5599999999999996E-2</v>
      </c>
    </row>
    <row r="34" spans="2:15" x14ac:dyDescent="0.2">
      <c r="D34" t="s">
        <v>378</v>
      </c>
      <c r="E34">
        <v>0.125</v>
      </c>
      <c r="F34">
        <v>4.5999999999999999E-2</v>
      </c>
      <c r="G34">
        <v>8.6400000000000005E-2</v>
      </c>
    </row>
    <row r="35" spans="2:15" x14ac:dyDescent="0.2">
      <c r="N35" t="s">
        <v>189</v>
      </c>
    </row>
    <row r="36" spans="2:15" x14ac:dyDescent="0.2">
      <c r="N36" t="s">
        <v>190</v>
      </c>
    </row>
    <row r="37" spans="2:15" x14ac:dyDescent="0.2">
      <c r="B37" t="s">
        <v>618</v>
      </c>
      <c r="O37" t="s">
        <v>192</v>
      </c>
    </row>
    <row r="38" spans="2:15" ht="14.25" x14ac:dyDescent="0.2">
      <c r="C38" t="s">
        <v>417</v>
      </c>
      <c r="O38" t="s">
        <v>191</v>
      </c>
    </row>
    <row r="39" spans="2:15" x14ac:dyDescent="0.2">
      <c r="C39" t="s">
        <v>418</v>
      </c>
    </row>
    <row r="40" spans="2:15" x14ac:dyDescent="0.2">
      <c r="C40" s="145" t="s">
        <v>619</v>
      </c>
      <c r="O40" t="s">
        <v>193</v>
      </c>
    </row>
    <row r="41" spans="2:15" x14ac:dyDescent="0.2">
      <c r="C41" t="s">
        <v>424</v>
      </c>
      <c r="O41" t="s">
        <v>194</v>
      </c>
    </row>
    <row r="43" spans="2:15" x14ac:dyDescent="0.2">
      <c r="B43" t="s">
        <v>620</v>
      </c>
      <c r="N43" t="s">
        <v>195</v>
      </c>
    </row>
    <row r="44" spans="2:15" x14ac:dyDescent="0.2">
      <c r="C44" t="s">
        <v>429</v>
      </c>
      <c r="O44" t="s">
        <v>621</v>
      </c>
    </row>
    <row r="45" spans="2:15" x14ac:dyDescent="0.2">
      <c r="B45" t="s">
        <v>430</v>
      </c>
      <c r="O45" t="s">
        <v>196</v>
      </c>
    </row>
    <row r="46" spans="2:15" x14ac:dyDescent="0.2">
      <c r="C46" t="s">
        <v>431</v>
      </c>
      <c r="O46" t="s">
        <v>197</v>
      </c>
    </row>
    <row r="47" spans="2:15" x14ac:dyDescent="0.2">
      <c r="B47" t="s">
        <v>432</v>
      </c>
      <c r="O47" t="s">
        <v>198</v>
      </c>
    </row>
    <row r="48" spans="2:15" x14ac:dyDescent="0.2">
      <c r="C48" t="s">
        <v>433</v>
      </c>
      <c r="O48" t="s">
        <v>199</v>
      </c>
    </row>
    <row r="49" spans="2:9" x14ac:dyDescent="0.2">
      <c r="C49" t="s">
        <v>434</v>
      </c>
    </row>
    <row r="50" spans="2:9" x14ac:dyDescent="0.2">
      <c r="B50" t="s">
        <v>419</v>
      </c>
    </row>
    <row r="51" spans="2:9" x14ac:dyDescent="0.2">
      <c r="C51" t="s">
        <v>423</v>
      </c>
    </row>
    <row r="52" spans="2:9" x14ac:dyDescent="0.2">
      <c r="C52" t="s">
        <v>420</v>
      </c>
    </row>
    <row r="53" spans="2:9" ht="14.25" x14ac:dyDescent="0.2">
      <c r="C53" t="s">
        <v>421</v>
      </c>
    </row>
    <row r="54" spans="2:9" x14ac:dyDescent="0.2">
      <c r="D54" t="s">
        <v>422</v>
      </c>
    </row>
    <row r="56" spans="2:9" x14ac:dyDescent="0.2">
      <c r="C56" t="s">
        <v>425</v>
      </c>
    </row>
    <row r="57" spans="2:9" x14ac:dyDescent="0.2">
      <c r="C57" t="s">
        <v>426</v>
      </c>
    </row>
    <row r="58" spans="2:9" ht="14.25" x14ac:dyDescent="0.2">
      <c r="C58" t="s">
        <v>427</v>
      </c>
    </row>
    <row r="60" spans="2:9" x14ac:dyDescent="0.2">
      <c r="B60" t="s">
        <v>435</v>
      </c>
    </row>
    <row r="61" spans="2:9" x14ac:dyDescent="0.2">
      <c r="C61" t="s">
        <v>436</v>
      </c>
      <c r="D61">
        <v>7.75</v>
      </c>
      <c r="E61" t="s">
        <v>204</v>
      </c>
    </row>
    <row r="62" spans="2:9" x14ac:dyDescent="0.2">
      <c r="C62" t="s">
        <v>437</v>
      </c>
      <c r="D62">
        <v>8</v>
      </c>
      <c r="E62" t="s">
        <v>438</v>
      </c>
    </row>
    <row r="63" spans="2:9" x14ac:dyDescent="0.2">
      <c r="C63" t="s">
        <v>423</v>
      </c>
      <c r="G63" t="s">
        <v>441</v>
      </c>
    </row>
    <row r="64" spans="2:9" x14ac:dyDescent="0.2">
      <c r="D64" s="2" t="s">
        <v>439</v>
      </c>
      <c r="E64">
        <f>D61*0.15*D62*D62/120</f>
        <v>0.61999999999999988</v>
      </c>
      <c r="F64" t="s">
        <v>440</v>
      </c>
      <c r="G64">
        <v>1.25</v>
      </c>
      <c r="H64">
        <f>G64*E64</f>
        <v>0.77499999999999991</v>
      </c>
      <c r="I64" t="s">
        <v>440</v>
      </c>
    </row>
    <row r="65" spans="2:9" x14ac:dyDescent="0.2">
      <c r="C65" t="s">
        <v>425</v>
      </c>
    </row>
    <row r="66" spans="2:9" x14ac:dyDescent="0.2">
      <c r="D66" s="2" t="s">
        <v>439</v>
      </c>
      <c r="E66">
        <f>D62*D62*0.002</f>
        <v>0.128</v>
      </c>
      <c r="F66" t="s">
        <v>440</v>
      </c>
      <c r="G66">
        <v>1.5</v>
      </c>
      <c r="H66">
        <f>G66*E66</f>
        <v>0.192</v>
      </c>
      <c r="I66" t="s">
        <v>440</v>
      </c>
    </row>
    <row r="67" spans="2:9" x14ac:dyDescent="0.2">
      <c r="D67" t="s">
        <v>84</v>
      </c>
      <c r="E67">
        <f>E66+E64</f>
        <v>0.74799999999999989</v>
      </c>
      <c r="F67" t="s">
        <v>440</v>
      </c>
      <c r="H67">
        <f>H66+H64</f>
        <v>0.96699999999999986</v>
      </c>
      <c r="I67" t="s">
        <v>440</v>
      </c>
    </row>
    <row r="69" spans="2:9" x14ac:dyDescent="0.2">
      <c r="B69" t="s">
        <v>622</v>
      </c>
    </row>
    <row r="70" spans="2:9" x14ac:dyDescent="0.2">
      <c r="D70" t="s">
        <v>442</v>
      </c>
      <c r="E70">
        <f>D61/12*D62*D62*16.5/1000</f>
        <v>0.68200000000000005</v>
      </c>
      <c r="F70" t="s">
        <v>440</v>
      </c>
      <c r="G70">
        <v>1.25</v>
      </c>
      <c r="H70">
        <f>G70*E70</f>
        <v>0.85250000000000004</v>
      </c>
      <c r="I70" t="s">
        <v>440</v>
      </c>
    </row>
    <row r="73" spans="2:9" x14ac:dyDescent="0.2">
      <c r="B73" t="s">
        <v>623</v>
      </c>
    </row>
    <row r="74" spans="2:9" x14ac:dyDescent="0.2">
      <c r="B74" t="s">
        <v>443</v>
      </c>
    </row>
    <row r="75" spans="2:9" x14ac:dyDescent="0.2">
      <c r="B75" t="s">
        <v>444</v>
      </c>
    </row>
    <row r="76" spans="2:9" x14ac:dyDescent="0.2">
      <c r="B76" t="s">
        <v>445</v>
      </c>
    </row>
    <row r="77" spans="2:9" x14ac:dyDescent="0.2">
      <c r="B77" t="s">
        <v>446</v>
      </c>
    </row>
    <row r="78" spans="2:9" x14ac:dyDescent="0.2">
      <c r="B78" t="s">
        <v>447</v>
      </c>
    </row>
    <row r="79" spans="2:9" x14ac:dyDescent="0.2">
      <c r="B79" t="s">
        <v>448</v>
      </c>
    </row>
    <row r="80" spans="2:9" x14ac:dyDescent="0.2">
      <c r="B80" t="s">
        <v>624</v>
      </c>
    </row>
    <row r="81" spans="2:2" x14ac:dyDescent="0.2">
      <c r="B81" t="s">
        <v>449</v>
      </c>
    </row>
    <row r="82" spans="2:2" x14ac:dyDescent="0.2">
      <c r="B82" t="s">
        <v>450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1:AS58"/>
  <sheetViews>
    <sheetView zoomScale="75" zoomScaleNormal="100" workbookViewId="0">
      <selection activeCell="K7" sqref="K7"/>
    </sheetView>
  </sheetViews>
  <sheetFormatPr defaultRowHeight="12.75" x14ac:dyDescent="0.2"/>
  <cols>
    <col min="1" max="2" width="9.140625" style="104"/>
    <col min="3" max="3" width="11" style="104" customWidth="1"/>
    <col min="4" max="4" width="10.7109375" style="104" bestFit="1" customWidth="1"/>
    <col min="5" max="5" width="12.7109375" style="104" customWidth="1"/>
    <col min="6" max="6" width="10.42578125" style="104" customWidth="1"/>
    <col min="7" max="25" width="9.140625" style="104"/>
    <col min="26" max="26" width="9.42578125" style="104" bestFit="1" customWidth="1"/>
    <col min="27" max="34" width="9.140625" style="104"/>
    <col min="35" max="35" width="12" style="104" bestFit="1" customWidth="1"/>
    <col min="36" max="16384" width="9.140625" style="104"/>
  </cols>
  <sheetData>
    <row r="1" spans="2:45" ht="18.75" thickBot="1" x14ac:dyDescent="0.3">
      <c r="C1" s="633" t="s">
        <v>583</v>
      </c>
      <c r="M1"/>
      <c r="N1"/>
      <c r="O1"/>
      <c r="P1"/>
      <c r="Q1"/>
      <c r="R1"/>
      <c r="S1"/>
      <c r="T1"/>
    </row>
    <row r="2" spans="2:45" ht="15" thickBot="1" x14ac:dyDescent="0.3">
      <c r="B2" s="105"/>
      <c r="C2" s="106" t="s">
        <v>239</v>
      </c>
      <c r="D2" s="107"/>
      <c r="E2" s="107"/>
      <c r="F2" s="108"/>
      <c r="G2" s="109"/>
      <c r="H2" s="168" t="s">
        <v>354</v>
      </c>
      <c r="I2" s="109">
        <f>INT(E3/G24*4)/4</f>
        <v>8.5</v>
      </c>
      <c r="J2" s="109"/>
      <c r="M2"/>
      <c r="N2"/>
      <c r="O2"/>
      <c r="P2"/>
      <c r="Q2"/>
      <c r="R2"/>
      <c r="S2"/>
      <c r="T2"/>
      <c r="V2" s="106" t="s">
        <v>645</v>
      </c>
      <c r="W2" s="110"/>
      <c r="X2" s="110"/>
      <c r="Y2" s="110"/>
      <c r="Z2" s="111"/>
      <c r="AC2" s="106" t="s">
        <v>646</v>
      </c>
      <c r="AD2" s="110"/>
      <c r="AE2" s="110"/>
      <c r="AF2" s="110"/>
      <c r="AG2" s="111"/>
      <c r="AK2" s="112" t="s">
        <v>240</v>
      </c>
    </row>
    <row r="3" spans="2:45" ht="15.75" x14ac:dyDescent="0.3">
      <c r="B3" s="105"/>
      <c r="C3" s="113"/>
      <c r="D3" s="114" t="s">
        <v>241</v>
      </c>
      <c r="E3" s="115">
        <v>12</v>
      </c>
      <c r="F3" s="116" t="s">
        <v>205</v>
      </c>
      <c r="G3" s="109"/>
      <c r="H3" s="168" t="s">
        <v>355</v>
      </c>
      <c r="I3" s="630">
        <f>E55</f>
        <v>9.5</v>
      </c>
      <c r="J3" s="109">
        <f>12/I3</f>
        <v>1.263157894736842</v>
      </c>
      <c r="M3"/>
      <c r="N3"/>
      <c r="O3" s="706" t="s">
        <v>609</v>
      </c>
      <c r="P3" s="131"/>
      <c r="Q3" s="131"/>
      <c r="R3" s="131"/>
      <c r="S3" s="132"/>
      <c r="T3"/>
      <c r="V3" s="117"/>
      <c r="W3" s="124" t="s">
        <v>243</v>
      </c>
      <c r="X3" s="119">
        <f>Q7*1000</f>
        <v>3986548.4596626009</v>
      </c>
      <c r="Y3" s="119"/>
      <c r="Z3" s="120"/>
      <c r="AC3" s="117"/>
      <c r="AD3" s="124" t="s">
        <v>243</v>
      </c>
      <c r="AE3" s="119">
        <f>X3</f>
        <v>3986548.4596626009</v>
      </c>
      <c r="AF3" s="119"/>
      <c r="AG3" s="120"/>
      <c r="AK3" s="121"/>
    </row>
    <row r="4" spans="2:45" x14ac:dyDescent="0.2">
      <c r="B4" s="105"/>
      <c r="C4" s="113"/>
      <c r="D4" s="114" t="s">
        <v>244</v>
      </c>
      <c r="E4" s="294">
        <f>'Custom Design'!F5-'Custom Design'!F12</f>
        <v>7.25</v>
      </c>
      <c r="F4" s="116" t="s">
        <v>205</v>
      </c>
      <c r="G4" s="109"/>
      <c r="H4" s="109"/>
      <c r="I4" s="109"/>
      <c r="J4" s="109"/>
      <c r="M4"/>
      <c r="N4"/>
      <c r="O4" s="134"/>
      <c r="P4" s="135"/>
      <c r="Q4" s="135"/>
      <c r="R4" s="135"/>
      <c r="S4" s="137"/>
      <c r="T4"/>
      <c r="V4" s="117"/>
      <c r="W4" s="124" t="s">
        <v>245</v>
      </c>
      <c r="X4" s="119">
        <v>29000000</v>
      </c>
      <c r="Y4" s="119"/>
      <c r="Z4" s="120"/>
      <c r="AC4" s="117"/>
      <c r="AD4" s="124" t="s">
        <v>245</v>
      </c>
      <c r="AE4" s="119">
        <f>X4</f>
        <v>29000000</v>
      </c>
      <c r="AF4" s="119"/>
      <c r="AG4" s="120"/>
      <c r="AK4" s="123" t="str">
        <f>'Bar Sizes'!D26</f>
        <v># 3</v>
      </c>
      <c r="AL4"/>
      <c r="AM4"/>
      <c r="AN4"/>
      <c r="AO4"/>
      <c r="AP4"/>
      <c r="AQ4"/>
      <c r="AR4"/>
      <c r="AS4"/>
    </row>
    <row r="5" spans="2:45" ht="15.75" x14ac:dyDescent="0.3">
      <c r="B5" s="105"/>
      <c r="C5" s="113"/>
      <c r="D5" s="114" t="s">
        <v>246</v>
      </c>
      <c r="E5" s="645">
        <f>'Custom Design'!F9</f>
        <v>4</v>
      </c>
      <c r="F5" s="116" t="s">
        <v>52</v>
      </c>
      <c r="G5" s="109"/>
      <c r="H5" s="109"/>
      <c r="I5" s="109"/>
      <c r="J5" s="109"/>
      <c r="M5"/>
      <c r="N5"/>
      <c r="O5" s="134"/>
      <c r="P5" s="539" t="s">
        <v>610</v>
      </c>
      <c r="Q5" s="135">
        <v>0.14499999999999999</v>
      </c>
      <c r="R5" s="135" t="s">
        <v>613</v>
      </c>
      <c r="S5" s="137"/>
      <c r="T5"/>
      <c r="V5" s="117"/>
      <c r="W5" s="124" t="s">
        <v>247</v>
      </c>
      <c r="X5" s="119">
        <f>ROUND(X4/X3,0)</f>
        <v>7</v>
      </c>
      <c r="Y5" s="119"/>
      <c r="Z5" s="120"/>
      <c r="AC5" s="117"/>
      <c r="AD5" s="124" t="s">
        <v>647</v>
      </c>
      <c r="AE5" s="119">
        <f>X5*2</f>
        <v>14</v>
      </c>
      <c r="AF5" s="119"/>
      <c r="AG5" s="120"/>
      <c r="AK5" s="123" t="str">
        <f>'Bar Sizes'!D27</f>
        <v># 4</v>
      </c>
      <c r="AL5"/>
      <c r="AM5"/>
      <c r="AN5"/>
      <c r="AO5"/>
      <c r="AP5"/>
      <c r="AQ5"/>
      <c r="AR5"/>
      <c r="AS5"/>
    </row>
    <row r="6" spans="2:45" ht="16.5" thickBot="1" x14ac:dyDescent="0.35">
      <c r="B6" s="105"/>
      <c r="C6" s="113"/>
      <c r="D6" s="114" t="s">
        <v>248</v>
      </c>
      <c r="E6" s="645">
        <f>'Custom Design'!F8</f>
        <v>60</v>
      </c>
      <c r="F6" s="116" t="s">
        <v>52</v>
      </c>
      <c r="G6" s="109"/>
      <c r="H6" s="109"/>
      <c r="I6" s="109"/>
      <c r="M6"/>
      <c r="N6"/>
      <c r="O6" s="134"/>
      <c r="P6" s="539" t="s">
        <v>611</v>
      </c>
      <c r="Q6" s="135">
        <v>1</v>
      </c>
      <c r="R6" s="135" t="s">
        <v>614</v>
      </c>
      <c r="S6" s="137"/>
      <c r="T6"/>
      <c r="V6" s="117"/>
      <c r="W6" s="119" t="s">
        <v>249</v>
      </c>
      <c r="X6" s="119"/>
      <c r="Y6" s="119"/>
      <c r="Z6" s="120"/>
      <c r="AC6" s="117"/>
      <c r="AD6" s="119" t="s">
        <v>249</v>
      </c>
      <c r="AE6" s="119"/>
      <c r="AF6" s="119"/>
      <c r="AG6" s="120"/>
      <c r="AK6" s="123" t="str">
        <f>'Bar Sizes'!D28</f>
        <v># 5</v>
      </c>
      <c r="AL6"/>
      <c r="AM6"/>
      <c r="AN6"/>
      <c r="AO6"/>
      <c r="AP6"/>
      <c r="AQ6"/>
      <c r="AR6"/>
      <c r="AS6"/>
    </row>
    <row r="7" spans="2:45" ht="16.5" thickBot="1" x14ac:dyDescent="0.35">
      <c r="B7" s="105"/>
      <c r="C7" s="113"/>
      <c r="D7" s="114" t="s">
        <v>250</v>
      </c>
      <c r="E7" s="294">
        <f>'Custom Design'!G23*12</f>
        <v>131.09400000000002</v>
      </c>
      <c r="F7" s="116" t="s">
        <v>251</v>
      </c>
      <c r="G7" s="109"/>
      <c r="H7" s="39" t="s">
        <v>333</v>
      </c>
      <c r="I7" s="629">
        <f>INT(E3/G24*4)/4</f>
        <v>8.5</v>
      </c>
      <c r="M7"/>
      <c r="N7"/>
      <c r="O7" s="155"/>
      <c r="P7" s="533" t="s">
        <v>612</v>
      </c>
      <c r="Q7" s="156">
        <f>120000*Q6*Q5^2*E5^0.33</f>
        <v>3986.5484596626011</v>
      </c>
      <c r="R7" s="156" t="s">
        <v>52</v>
      </c>
      <c r="S7" s="510"/>
      <c r="T7"/>
      <c r="V7" s="117"/>
      <c r="W7" s="119"/>
      <c r="X7" s="125" t="s">
        <v>1</v>
      </c>
      <c r="Y7" s="119">
        <f>E3/2</f>
        <v>6</v>
      </c>
      <c r="Z7" s="120"/>
      <c r="AC7" s="117"/>
      <c r="AD7" s="119"/>
      <c r="AE7" s="125" t="s">
        <v>1</v>
      </c>
      <c r="AF7" s="119">
        <f>E3/2</f>
        <v>6</v>
      </c>
      <c r="AG7" s="120"/>
      <c r="AK7" s="123" t="str">
        <f>'Bar Sizes'!D29</f>
        <v># 6</v>
      </c>
      <c r="AL7"/>
      <c r="AM7"/>
      <c r="AN7"/>
      <c r="AO7"/>
      <c r="AP7"/>
      <c r="AQ7"/>
      <c r="AR7"/>
      <c r="AS7"/>
    </row>
    <row r="8" spans="2:45" x14ac:dyDescent="0.2">
      <c r="B8" s="105"/>
      <c r="C8" s="113"/>
      <c r="D8" s="114" t="s">
        <v>649</v>
      </c>
      <c r="E8" s="294">
        <f>'Custom Design'!E21*12</f>
        <v>68.28</v>
      </c>
      <c r="F8" s="116" t="s">
        <v>251</v>
      </c>
      <c r="G8" s="109"/>
      <c r="H8" s="109"/>
      <c r="I8" s="109"/>
      <c r="M8"/>
      <c r="N8"/>
      <c r="O8"/>
      <c r="P8"/>
      <c r="Q8"/>
      <c r="R8"/>
      <c r="S8"/>
      <c r="T8"/>
      <c r="V8" s="117"/>
      <c r="W8" s="119"/>
      <c r="X8" s="125" t="s">
        <v>253</v>
      </c>
      <c r="Y8" s="119">
        <f>X30*X5</f>
        <v>3.0635294117647063</v>
      </c>
      <c r="Z8" s="120"/>
      <c r="AC8" s="117"/>
      <c r="AD8" s="119"/>
      <c r="AE8" s="125" t="s">
        <v>253</v>
      </c>
      <c r="AF8" s="119">
        <f>X30*AE5</f>
        <v>6.1270588235294126</v>
      </c>
      <c r="AG8" s="120"/>
      <c r="AK8" s="123" t="str">
        <f>'Bar Sizes'!D30</f>
        <v># 7</v>
      </c>
      <c r="AL8"/>
      <c r="AM8"/>
      <c r="AN8"/>
      <c r="AO8"/>
      <c r="AP8"/>
      <c r="AQ8"/>
      <c r="AR8"/>
      <c r="AS8"/>
    </row>
    <row r="9" spans="2:45" x14ac:dyDescent="0.2">
      <c r="B9" s="105"/>
      <c r="C9" s="113"/>
      <c r="D9" s="114" t="s">
        <v>648</v>
      </c>
      <c r="E9" s="294">
        <f>('Custom Design'!E19+'Custom Design'!E20)*12</f>
        <v>8.9759999999999991</v>
      </c>
      <c r="F9" s="116" t="s">
        <v>251</v>
      </c>
      <c r="M9"/>
      <c r="N9"/>
      <c r="O9"/>
      <c r="P9"/>
      <c r="Q9"/>
      <c r="R9"/>
      <c r="S9"/>
      <c r="T9"/>
      <c r="V9" s="117"/>
      <c r="W9" s="119"/>
      <c r="X9" s="125" t="s">
        <v>254</v>
      </c>
      <c r="Y9" s="119">
        <f>-AA30*X5</f>
        <v>-18.189705882352943</v>
      </c>
      <c r="Z9" s="120"/>
      <c r="AC9" s="117"/>
      <c r="AD9" s="119"/>
      <c r="AE9" s="125" t="s">
        <v>254</v>
      </c>
      <c r="AF9" s="119">
        <f>-AA30*AE5</f>
        <v>-36.379411764705885</v>
      </c>
      <c r="AG9" s="120"/>
      <c r="AK9" s="123" t="str">
        <f>'Bar Sizes'!D31</f>
        <v># 8</v>
      </c>
      <c r="AL9"/>
      <c r="AM9"/>
      <c r="AN9"/>
      <c r="AO9"/>
      <c r="AP9"/>
      <c r="AQ9"/>
      <c r="AR9"/>
      <c r="AS9"/>
    </row>
    <row r="10" spans="2:45" x14ac:dyDescent="0.2">
      <c r="B10" s="105"/>
      <c r="C10" s="113"/>
      <c r="D10" s="118"/>
      <c r="E10" s="118"/>
      <c r="F10" s="116"/>
      <c r="G10" s="109"/>
      <c r="H10" s="109"/>
      <c r="I10" s="109"/>
      <c r="J10" s="109"/>
      <c r="M10"/>
      <c r="N10"/>
      <c r="O10"/>
      <c r="P10"/>
      <c r="Q10"/>
      <c r="R10"/>
      <c r="S10"/>
      <c r="T10"/>
      <c r="V10" s="117"/>
      <c r="W10" s="119"/>
      <c r="X10" s="125" t="s">
        <v>257</v>
      </c>
      <c r="Y10" s="118">
        <f>(-Y8-SQRT(Y8*Y8-4*Y7*Y9))/2/Y7</f>
        <v>-2.0150647656475345</v>
      </c>
      <c r="Z10" s="120"/>
      <c r="AC10" s="117"/>
      <c r="AD10" s="119"/>
      <c r="AE10" s="125" t="s">
        <v>257</v>
      </c>
      <c r="AF10" s="118">
        <f>(-AF8-SQRT(AF8*AF8-4*AF7*AF9))/2/AF7</f>
        <v>-3.0253318882612366</v>
      </c>
      <c r="AG10" s="120"/>
      <c r="AK10" s="123" t="str">
        <f>'Bar Sizes'!D32</f>
        <v># 9</v>
      </c>
      <c r="AL10"/>
      <c r="AM10"/>
      <c r="AN10"/>
      <c r="AO10"/>
      <c r="AP10"/>
      <c r="AQ10"/>
      <c r="AR10"/>
      <c r="AS10"/>
    </row>
    <row r="11" spans="2:45" x14ac:dyDescent="0.2">
      <c r="B11" s="105"/>
      <c r="C11" s="113"/>
      <c r="D11" s="114" t="s">
        <v>256</v>
      </c>
      <c r="E11" s="295">
        <f>'Custom Design'!F11</f>
        <v>1</v>
      </c>
      <c r="F11" s="116" t="s">
        <v>205</v>
      </c>
      <c r="G11" s="109"/>
      <c r="H11" s="109"/>
      <c r="I11" s="109"/>
      <c r="J11" s="109"/>
      <c r="M11"/>
      <c r="N11"/>
      <c r="O11"/>
      <c r="P11"/>
      <c r="Q11"/>
      <c r="R11"/>
      <c r="S11"/>
      <c r="T11"/>
      <c r="V11" s="117"/>
      <c r="W11" s="119"/>
      <c r="X11" s="125" t="s">
        <v>260</v>
      </c>
      <c r="Y11" s="118">
        <f>(-Y8+SQRT(Y8*Y8-4*Y7*Y9))/2/Y7</f>
        <v>1.5044765303534169</v>
      </c>
      <c r="Z11" s="120"/>
      <c r="AC11" s="117"/>
      <c r="AD11" s="119"/>
      <c r="AE11" s="125" t="s">
        <v>260</v>
      </c>
      <c r="AF11" s="118">
        <f>(-AF8+SQRT(AF8*AF8-4*AF7*AF9))/2/AF7</f>
        <v>2.004155417673001</v>
      </c>
      <c r="AG11" s="120"/>
      <c r="AK11" s="123" t="str">
        <f>'Bar Sizes'!D33</f>
        <v># 10</v>
      </c>
      <c r="AL11"/>
      <c r="AM11"/>
      <c r="AN11"/>
      <c r="AO11"/>
      <c r="AP11"/>
      <c r="AQ11"/>
      <c r="AR11"/>
      <c r="AS11"/>
    </row>
    <row r="12" spans="2:45" ht="13.5" thickBot="1" x14ac:dyDescent="0.25">
      <c r="B12" s="105"/>
      <c r="C12" s="113"/>
      <c r="D12" s="114" t="s">
        <v>259</v>
      </c>
      <c r="E12" s="133">
        <v>0</v>
      </c>
      <c r="F12" s="116" t="s">
        <v>205</v>
      </c>
      <c r="G12" s="109"/>
      <c r="H12" s="109"/>
      <c r="I12" s="109"/>
      <c r="J12" s="109"/>
      <c r="M12"/>
      <c r="N12"/>
      <c r="O12"/>
      <c r="P12"/>
      <c r="Q12"/>
      <c r="R12"/>
      <c r="S12"/>
      <c r="T12"/>
      <c r="V12" s="126"/>
      <c r="W12" s="127"/>
      <c r="X12" s="140" t="s">
        <v>252</v>
      </c>
      <c r="Y12" s="127">
        <f>MAX(Y10:Y11)</f>
        <v>1.5044765303534169</v>
      </c>
      <c r="Z12" s="141" t="s">
        <v>204</v>
      </c>
      <c r="AC12" s="126"/>
      <c r="AD12" s="127"/>
      <c r="AE12" s="140" t="s">
        <v>252</v>
      </c>
      <c r="AF12" s="127">
        <f>MAX(AF10:AF11)</f>
        <v>2.004155417673001</v>
      </c>
      <c r="AG12" s="141" t="s">
        <v>204</v>
      </c>
      <c r="AK12" s="123" t="str">
        <f>'Bar Sizes'!D34</f>
        <v># 11</v>
      </c>
      <c r="AL12"/>
      <c r="AM12"/>
      <c r="AN12"/>
      <c r="AO12"/>
      <c r="AP12"/>
      <c r="AQ12"/>
      <c r="AR12"/>
      <c r="AS12"/>
    </row>
    <row r="13" spans="2:45" ht="13.5" thickBot="1" x14ac:dyDescent="0.25">
      <c r="B13" s="105"/>
      <c r="C13" s="138"/>
      <c r="D13" s="128" t="s">
        <v>261</v>
      </c>
      <c r="E13" s="139"/>
      <c r="F13" s="129"/>
      <c r="G13" s="109"/>
      <c r="H13" s="109"/>
      <c r="I13" s="109"/>
      <c r="J13" s="109"/>
      <c r="M13"/>
      <c r="N13"/>
      <c r="O13"/>
      <c r="P13"/>
      <c r="Q13"/>
      <c r="R13"/>
      <c r="S13"/>
      <c r="T13"/>
      <c r="AK13" s="123" t="str">
        <f>'Bar Sizes'!D35</f>
        <v># 14</v>
      </c>
      <c r="AL13"/>
      <c r="AM13"/>
      <c r="AN13"/>
      <c r="AO13"/>
      <c r="AP13"/>
      <c r="AQ13"/>
      <c r="AR13"/>
      <c r="AS13"/>
    </row>
    <row r="14" spans="2:45" ht="13.5" thickBot="1" x14ac:dyDescent="0.25">
      <c r="B14" s="105"/>
      <c r="C14" s="105"/>
      <c r="D14" s="105"/>
      <c r="E14" s="105"/>
      <c r="F14" s="105"/>
      <c r="G14" s="105"/>
      <c r="H14" s="105"/>
      <c r="I14" s="105"/>
      <c r="J14" s="105"/>
      <c r="M14"/>
      <c r="N14"/>
      <c r="O14"/>
      <c r="P14"/>
      <c r="Q14"/>
      <c r="R14"/>
      <c r="S14"/>
      <c r="T14"/>
      <c r="V14" s="106" t="s">
        <v>255</v>
      </c>
      <c r="W14" s="110"/>
      <c r="X14" s="110"/>
      <c r="Y14" s="110"/>
      <c r="Z14" s="110"/>
      <c r="AA14" s="111"/>
      <c r="AC14" s="106" t="s">
        <v>255</v>
      </c>
      <c r="AD14" s="110"/>
      <c r="AE14" s="110"/>
      <c r="AF14" s="110"/>
      <c r="AG14" s="110"/>
      <c r="AH14" s="111"/>
      <c r="AK14" s="144" t="str">
        <f>'Bar Sizes'!D36</f>
        <v># 18</v>
      </c>
      <c r="AL14"/>
      <c r="AM14"/>
      <c r="AN14"/>
      <c r="AO14"/>
      <c r="AP14"/>
      <c r="AQ14"/>
      <c r="AR14"/>
      <c r="AS14"/>
    </row>
    <row r="15" spans="2:45" x14ac:dyDescent="0.2">
      <c r="B15" s="105"/>
      <c r="C15" s="106" t="s">
        <v>264</v>
      </c>
      <c r="D15" s="107"/>
      <c r="E15" s="107"/>
      <c r="F15" s="107"/>
      <c r="G15" s="107"/>
      <c r="H15" s="107"/>
      <c r="I15" s="107"/>
      <c r="J15" s="108"/>
      <c r="M15"/>
      <c r="N15"/>
      <c r="O15"/>
      <c r="P15"/>
      <c r="Q15"/>
      <c r="R15"/>
      <c r="S15"/>
      <c r="T15"/>
      <c r="V15" s="117"/>
      <c r="W15" s="119"/>
      <c r="X15" s="119"/>
      <c r="Y15" s="124" t="s">
        <v>258</v>
      </c>
      <c r="Z15" s="119">
        <f>E3*Y12^3/3</f>
        <v>13.621227386200914</v>
      </c>
      <c r="AA15" s="120"/>
      <c r="AC15" s="117"/>
      <c r="AD15" s="119"/>
      <c r="AE15" s="119"/>
      <c r="AF15" s="124" t="s">
        <v>258</v>
      </c>
      <c r="AG15" s="119">
        <f>E3*AF12^3/3</f>
        <v>32.199874755223576</v>
      </c>
      <c r="AH15" s="120"/>
      <c r="AK15"/>
      <c r="AL15"/>
      <c r="AM15"/>
      <c r="AN15"/>
      <c r="AO15"/>
      <c r="AP15"/>
      <c r="AQ15"/>
      <c r="AR15"/>
      <c r="AS15"/>
    </row>
    <row r="16" spans="2:45" x14ac:dyDescent="0.2">
      <c r="B16" s="105"/>
      <c r="C16" s="146"/>
      <c r="D16" s="147" t="s">
        <v>266</v>
      </c>
      <c r="E16" s="148">
        <v>0.9</v>
      </c>
      <c r="F16" s="149"/>
      <c r="G16" s="149" t="str">
        <f>"Calculated phi = "&amp;TEXT(R49,"0.##0")&amp;IF(R49=E16, "  OK","    Caution")</f>
        <v>Calculated phi = 0.90  OK</v>
      </c>
      <c r="H16" s="149"/>
      <c r="I16" s="149"/>
      <c r="J16" s="150"/>
      <c r="M16"/>
      <c r="N16"/>
      <c r="O16"/>
      <c r="P16"/>
      <c r="Q16"/>
      <c r="R16"/>
      <c r="S16"/>
      <c r="T16"/>
      <c r="V16" s="117"/>
      <c r="W16" s="119" t="s">
        <v>56</v>
      </c>
      <c r="X16" s="119"/>
      <c r="Y16" s="124" t="str">
        <f>D23</f>
        <v>2nd Layer</v>
      </c>
      <c r="Z16" s="119">
        <f>X28*X5*(Z28-Y12)^2</f>
        <v>0</v>
      </c>
      <c r="AA16" s="120"/>
      <c r="AC16" s="117"/>
      <c r="AD16" s="119" t="s">
        <v>56</v>
      </c>
      <c r="AE16" s="119"/>
      <c r="AF16" s="124" t="str">
        <f>Y16</f>
        <v>2nd Layer</v>
      </c>
      <c r="AG16" s="119">
        <f>X28*X5*(Z28-Y12)^2</f>
        <v>0</v>
      </c>
      <c r="AH16" s="120"/>
      <c r="AK16"/>
      <c r="AL16"/>
      <c r="AM16"/>
      <c r="AN16"/>
      <c r="AO16"/>
      <c r="AP16"/>
      <c r="AQ16"/>
      <c r="AR16"/>
      <c r="AS16"/>
    </row>
    <row r="17" spans="2:45" ht="15" x14ac:dyDescent="0.25">
      <c r="B17" s="105"/>
      <c r="C17" s="113"/>
      <c r="D17" s="114" t="s">
        <v>319</v>
      </c>
      <c r="E17" s="153">
        <f>S31</f>
        <v>0.4319792909576386</v>
      </c>
      <c r="F17" s="118" t="s">
        <v>320</v>
      </c>
      <c r="G17" s="154" t="str">
        <f>IF(R42&gt;=0.005,"Tension Controlled, OK",IF(R42&lt;0.004,"Over-Reinforced, NG","Transition Zone, Caution"))</f>
        <v>Tension Controlled, OK</v>
      </c>
      <c r="H17" s="118"/>
      <c r="I17" s="118"/>
      <c r="J17" s="116"/>
      <c r="M17"/>
      <c r="N17"/>
      <c r="O17"/>
      <c r="P17"/>
      <c r="Q17"/>
      <c r="R17"/>
      <c r="S17"/>
      <c r="T17"/>
      <c r="V17" s="117"/>
      <c r="W17" s="119" t="s">
        <v>56</v>
      </c>
      <c r="X17" s="119"/>
      <c r="Y17" s="124" t="str">
        <f>D24</f>
        <v>Bottom Layer</v>
      </c>
      <c r="Z17" s="119">
        <f>X29*X5*(Z29-Y12)^2</f>
        <v>60.203552003137744</v>
      </c>
      <c r="AA17" s="120"/>
      <c r="AC17" s="117"/>
      <c r="AD17" s="119" t="s">
        <v>56</v>
      </c>
      <c r="AE17" s="119"/>
      <c r="AF17" s="124" t="str">
        <f>Y17</f>
        <v>Bottom Layer</v>
      </c>
      <c r="AG17" s="119">
        <f>X29*AE5*(Z29-AF12)^2</f>
        <v>94.792950040113638</v>
      </c>
      <c r="AH17" s="120"/>
      <c r="AK17"/>
      <c r="AL17"/>
      <c r="AM17"/>
      <c r="AN17"/>
      <c r="AO17"/>
      <c r="AP17"/>
      <c r="AQ17"/>
      <c r="AR17"/>
      <c r="AS17"/>
    </row>
    <row r="18" spans="2:45" ht="15" x14ac:dyDescent="0.25">
      <c r="B18" s="105"/>
      <c r="C18" s="113"/>
      <c r="D18" s="114" t="s">
        <v>321</v>
      </c>
      <c r="E18">
        <f>MAX(R53:R54)</f>
        <v>0.23749999999999999</v>
      </c>
      <c r="F18" s="118" t="s">
        <v>320</v>
      </c>
      <c r="G18" s="158" t="str">
        <f>IF(E19&gt;E17,"Minimum Steel Controls","")</f>
        <v/>
      </c>
      <c r="H18" s="118"/>
      <c r="I18" s="118"/>
      <c r="J18" s="116"/>
      <c r="M18"/>
      <c r="N18"/>
      <c r="O18"/>
      <c r="P18"/>
      <c r="Q18"/>
      <c r="R18"/>
      <c r="S18"/>
      <c r="T18"/>
      <c r="V18" s="113"/>
      <c r="W18" s="118"/>
      <c r="X18" s="118"/>
      <c r="Y18" s="114" t="s">
        <v>262</v>
      </c>
      <c r="Z18" s="118">
        <f>SUM(Z15:Z17)</f>
        <v>73.824779389338659</v>
      </c>
      <c r="AA18" s="116" t="s">
        <v>263</v>
      </c>
      <c r="AB18" s="105"/>
      <c r="AC18" s="113"/>
      <c r="AD18" s="118"/>
      <c r="AE18" s="118"/>
      <c r="AF18" s="114" t="s">
        <v>262</v>
      </c>
      <c r="AG18" s="118">
        <f>SUM(AG15:AG17)</f>
        <v>126.99282479533721</v>
      </c>
      <c r="AH18" s="116" t="s">
        <v>263</v>
      </c>
      <c r="AK18"/>
      <c r="AL18"/>
      <c r="AM18"/>
      <c r="AN18"/>
      <c r="AO18"/>
      <c r="AP18"/>
      <c r="AQ18"/>
      <c r="AR18"/>
      <c r="AS18"/>
    </row>
    <row r="19" spans="2:45" ht="15.75" thickBot="1" x14ac:dyDescent="0.3">
      <c r="B19" s="105"/>
      <c r="C19" s="138"/>
      <c r="D19" s="128" t="s">
        <v>322</v>
      </c>
      <c r="E19" s="632">
        <f>R55</f>
        <v>0.4319792909576386</v>
      </c>
      <c r="F19" s="160" t="s">
        <v>320</v>
      </c>
      <c r="G19" s="161" t="str">
        <f>IF(I25&lt;E19,"Steel Area Too Low!","")</f>
        <v/>
      </c>
      <c r="H19" s="160"/>
      <c r="I19" s="160"/>
      <c r="J19" s="129"/>
      <c r="M19" s="105"/>
      <c r="V19" s="113"/>
      <c r="W19" s="118"/>
      <c r="X19" s="118"/>
      <c r="Y19" s="114" t="s">
        <v>265</v>
      </c>
      <c r="Z19" s="118">
        <f>ROUND(E8*(AA32-Y12)/Z18*X5,2)</f>
        <v>28.7</v>
      </c>
      <c r="AA19" s="116" t="s">
        <v>52</v>
      </c>
      <c r="AB19" s="105"/>
      <c r="AC19" s="113"/>
      <c r="AD19" s="118"/>
      <c r="AE19" s="118"/>
      <c r="AF19" s="114" t="s">
        <v>265</v>
      </c>
      <c r="AG19" s="118">
        <f>ROUND(E9*(AA32-AF12)/AG18*AE5,2)</f>
        <v>3.89</v>
      </c>
      <c r="AH19" s="116" t="s">
        <v>52</v>
      </c>
      <c r="AK19"/>
      <c r="AL19"/>
      <c r="AM19"/>
      <c r="AN19"/>
      <c r="AO19"/>
      <c r="AP19"/>
      <c r="AQ19"/>
      <c r="AR19"/>
      <c r="AS19"/>
    </row>
    <row r="20" spans="2:45" ht="13.5" thickBot="1" x14ac:dyDescent="0.25">
      <c r="B20" s="105"/>
      <c r="D20" s="105"/>
      <c r="E20" s="105"/>
      <c r="F20" s="105"/>
      <c r="G20" s="105"/>
      <c r="H20" s="105"/>
      <c r="I20" s="105"/>
      <c r="J20" s="105"/>
      <c r="M20" s="105"/>
      <c r="N20" s="163" t="s">
        <v>269</v>
      </c>
      <c r="O20" s="164"/>
      <c r="P20" s="164"/>
      <c r="Q20" s="164"/>
      <c r="R20" s="164"/>
      <c r="S20" s="164"/>
      <c r="T20" s="165"/>
      <c r="V20" s="117"/>
      <c r="W20" s="119"/>
      <c r="X20" s="119"/>
      <c r="Y20" s="151" t="s">
        <v>267</v>
      </c>
      <c r="Z20" s="119">
        <f>ROUND(E8*(Y12)/Z18,3)</f>
        <v>1.391</v>
      </c>
      <c r="AA20" s="116" t="s">
        <v>52</v>
      </c>
      <c r="AC20" s="117"/>
      <c r="AD20" s="119"/>
      <c r="AE20" s="119"/>
      <c r="AF20" s="151" t="s">
        <v>267</v>
      </c>
      <c r="AG20" s="119">
        <f>ROUND(E9*(AF12)/AG18,3)</f>
        <v>0.14199999999999999</v>
      </c>
      <c r="AH20" s="116" t="s">
        <v>52</v>
      </c>
      <c r="AK20"/>
      <c r="AL20"/>
      <c r="AM20"/>
      <c r="AN20"/>
      <c r="AO20"/>
      <c r="AP20"/>
      <c r="AQ20"/>
      <c r="AR20"/>
      <c r="AS20"/>
    </row>
    <row r="21" spans="2:45" ht="13.5" thickBot="1" x14ac:dyDescent="0.25">
      <c r="B21" s="105"/>
      <c r="C21" s="163" t="s">
        <v>270</v>
      </c>
      <c r="D21" s="164"/>
      <c r="E21" s="164"/>
      <c r="F21" s="164"/>
      <c r="G21" s="164"/>
      <c r="H21" s="164"/>
      <c r="I21" s="164"/>
      <c r="J21" s="165"/>
      <c r="M21" s="105"/>
      <c r="N21" s="170" t="s">
        <v>276</v>
      </c>
      <c r="O21" s="109"/>
      <c r="P21" s="109"/>
      <c r="Q21" s="109"/>
      <c r="R21" s="109"/>
      <c r="S21" s="109"/>
      <c r="T21" s="169"/>
      <c r="V21" s="126"/>
      <c r="W21" s="127"/>
      <c r="X21" s="127"/>
      <c r="Y21" s="140" t="s">
        <v>268</v>
      </c>
      <c r="Z21" s="127">
        <v>0</v>
      </c>
      <c r="AA21" s="129" t="s">
        <v>52</v>
      </c>
      <c r="AC21" s="126"/>
      <c r="AD21" s="127"/>
      <c r="AE21" s="127"/>
      <c r="AF21" s="140" t="s">
        <v>268</v>
      </c>
      <c r="AG21" s="127">
        <v>0</v>
      </c>
      <c r="AH21" s="129" t="s">
        <v>52</v>
      </c>
      <c r="AK21"/>
      <c r="AL21"/>
      <c r="AM21"/>
      <c r="AN21"/>
      <c r="AO21"/>
      <c r="AP21"/>
      <c r="AQ21"/>
      <c r="AR21"/>
      <c r="AS21"/>
    </row>
    <row r="22" spans="2:45" ht="13.5" thickBot="1" x14ac:dyDescent="0.25">
      <c r="B22" s="105"/>
      <c r="C22" s="146"/>
      <c r="D22" s="109"/>
      <c r="E22" s="166" t="s">
        <v>271</v>
      </c>
      <c r="F22" s="166" t="s">
        <v>272</v>
      </c>
      <c r="G22" s="167" t="s">
        <v>273</v>
      </c>
      <c r="H22" s="166" t="s">
        <v>274</v>
      </c>
      <c r="I22" s="168" t="s">
        <v>275</v>
      </c>
      <c r="J22" s="169"/>
      <c r="M22" s="105"/>
      <c r="N22" s="113"/>
      <c r="O22" s="118"/>
      <c r="P22" s="118"/>
      <c r="Q22" s="114"/>
      <c r="R22" s="105"/>
      <c r="S22" s="118"/>
      <c r="T22" s="116"/>
      <c r="V22" s="105"/>
      <c r="W22" s="105"/>
      <c r="X22" s="105"/>
      <c r="Y22" s="105"/>
      <c r="Z22" s="105"/>
      <c r="AA22" s="105"/>
      <c r="AB22" s="105"/>
      <c r="AC22" s="105"/>
      <c r="AK22"/>
      <c r="AL22"/>
      <c r="AM22"/>
      <c r="AN22"/>
      <c r="AO22"/>
      <c r="AP22"/>
      <c r="AQ22"/>
      <c r="AR22"/>
      <c r="AS22"/>
    </row>
    <row r="23" spans="2:45" x14ac:dyDescent="0.2">
      <c r="B23" s="105"/>
      <c r="C23" s="171"/>
      <c r="D23" s="172" t="s">
        <v>277</v>
      </c>
      <c r="E23" s="173"/>
      <c r="F23" s="173"/>
      <c r="G23" s="174" t="str">
        <f>IF(H23&gt;0,(E19-I24)/H23,"")</f>
        <v/>
      </c>
      <c r="H23" s="175">
        <f>IF(ISNUMBER(VLOOKUP(E23,'Bar Sizes'!$D$8:$J$18,3)),VLOOKUP(E23,'Bar Sizes'!$D$8:$J$18,3),0)</f>
        <v>0</v>
      </c>
      <c r="I23" s="176">
        <f>F23*H23</f>
        <v>0</v>
      </c>
      <c r="J23" s="177"/>
      <c r="M23" s="105"/>
      <c r="N23" s="113"/>
      <c r="O23" s="118"/>
      <c r="P23" s="118"/>
      <c r="Q23" s="114"/>
      <c r="R23" s="179">
        <f>X24</f>
        <v>5.9375</v>
      </c>
      <c r="S23" s="118" t="s">
        <v>205</v>
      </c>
      <c r="T23" s="116"/>
      <c r="V23" s="106" t="s">
        <v>279</v>
      </c>
      <c r="W23" s="107"/>
      <c r="X23" s="107"/>
      <c r="Y23" s="107"/>
      <c r="Z23" s="107"/>
      <c r="AA23" s="107"/>
      <c r="AB23" s="108"/>
      <c r="AC23" s="105"/>
      <c r="AK23"/>
      <c r="AL23"/>
      <c r="AM23"/>
      <c r="AN23"/>
      <c r="AO23"/>
      <c r="AP23"/>
      <c r="AQ23"/>
      <c r="AR23"/>
      <c r="AS23"/>
    </row>
    <row r="24" spans="2:45" x14ac:dyDescent="0.2">
      <c r="B24" s="105"/>
      <c r="C24" s="117"/>
      <c r="D24" s="114" t="s">
        <v>278</v>
      </c>
      <c r="E24" s="295" t="str">
        <f>'Custom Design'!D34</f>
        <v># 5</v>
      </c>
      <c r="F24" s="634">
        <f>E3/'Custom Design'!F34</f>
        <v>1.411764705882353</v>
      </c>
      <c r="G24" s="178">
        <f>IF(H24&gt;0,(E19-I23)/H24,"")</f>
        <v>1.393481583734318</v>
      </c>
      <c r="H24" s="125">
        <f>IF(ISNUMBER(VLOOKUP(E24,'Bar Sizes'!$D$8:$J$18,3)),VLOOKUP(E24,'Bar Sizes'!$D$8:$J$18,3),0)</f>
        <v>0.31</v>
      </c>
      <c r="I24" s="118">
        <f>F24*H24</f>
        <v>0.43764705882352944</v>
      </c>
      <c r="J24" s="116"/>
      <c r="M24" s="105"/>
      <c r="N24" s="113"/>
      <c r="O24" s="118"/>
      <c r="P24" s="114" t="s">
        <v>281</v>
      </c>
      <c r="Q24" s="179">
        <f>E16</f>
        <v>0.9</v>
      </c>
      <c r="R24" s="118"/>
      <c r="S24" s="118"/>
      <c r="T24" s="116"/>
      <c r="V24" s="113"/>
      <c r="W24" s="114" t="s">
        <v>282</v>
      </c>
      <c r="X24" s="118">
        <f>IF(Y29&gt;0,AA31,E4-E11-0.5)</f>
        <v>5.9375</v>
      </c>
      <c r="Y24" s="118"/>
      <c r="Z24" s="118"/>
      <c r="AA24" s="118"/>
      <c r="AB24" s="116"/>
      <c r="AC24" s="105"/>
      <c r="AK24"/>
      <c r="AL24"/>
      <c r="AM24"/>
      <c r="AN24"/>
      <c r="AO24"/>
      <c r="AP24"/>
      <c r="AQ24"/>
      <c r="AR24"/>
      <c r="AS24"/>
    </row>
    <row r="25" spans="2:45" x14ac:dyDescent="0.2">
      <c r="B25" s="105"/>
      <c r="C25" s="180"/>
      <c r="D25" s="181" t="s">
        <v>280</v>
      </c>
      <c r="E25" s="182">
        <v>1</v>
      </c>
      <c r="F25" s="183" t="s">
        <v>205</v>
      </c>
      <c r="G25" s="181"/>
      <c r="H25" s="181" t="s">
        <v>84</v>
      </c>
      <c r="I25" s="183">
        <f>SUM(I23:I24)</f>
        <v>0.43764705882352944</v>
      </c>
      <c r="J25" s="184"/>
      <c r="M25" s="105"/>
      <c r="N25" s="113"/>
      <c r="O25" s="118"/>
      <c r="P25" s="118"/>
      <c r="Q25" s="118"/>
      <c r="R25" s="118"/>
      <c r="S25" s="118"/>
      <c r="T25" s="116"/>
      <c r="V25" s="113"/>
      <c r="W25" s="114" t="s">
        <v>284</v>
      </c>
      <c r="X25" s="118">
        <f>IF(Y29&gt;0,AA32,X24)</f>
        <v>5.9375</v>
      </c>
      <c r="Y25" s="118"/>
      <c r="Z25" s="118"/>
      <c r="AA25" s="118"/>
      <c r="AB25" s="116"/>
      <c r="AC25" s="105"/>
      <c r="AK25"/>
      <c r="AL25"/>
      <c r="AM25"/>
      <c r="AN25"/>
      <c r="AO25"/>
      <c r="AP25"/>
      <c r="AQ25"/>
      <c r="AR25"/>
      <c r="AS25"/>
    </row>
    <row r="26" spans="2:45" ht="15.75" x14ac:dyDescent="0.3">
      <c r="B26" s="105"/>
      <c r="C26" s="171"/>
      <c r="D26" s="185" t="s">
        <v>283</v>
      </c>
      <c r="E26" s="186">
        <f>AA31</f>
        <v>5.9375</v>
      </c>
      <c r="F26" s="187" t="s">
        <v>205</v>
      </c>
      <c r="H26" s="188" t="s">
        <v>323</v>
      </c>
      <c r="I26" s="186">
        <f>AA32</f>
        <v>5.9375</v>
      </c>
      <c r="J26" s="189"/>
      <c r="M26" s="105"/>
      <c r="N26" s="113"/>
      <c r="O26" s="118"/>
      <c r="P26" s="192" t="s">
        <v>286</v>
      </c>
      <c r="Q26" s="118"/>
      <c r="R26" s="118"/>
      <c r="S26" s="118"/>
      <c r="T26" s="116"/>
      <c r="V26" s="113"/>
      <c r="W26" s="118"/>
      <c r="X26" s="118"/>
      <c r="Y26" s="118"/>
      <c r="Z26" s="118"/>
      <c r="AA26" s="118"/>
      <c r="AB26" s="116"/>
      <c r="AC26" s="105"/>
      <c r="AK26"/>
      <c r="AL26"/>
      <c r="AM26"/>
      <c r="AN26"/>
      <c r="AO26"/>
      <c r="AP26"/>
      <c r="AQ26"/>
      <c r="AR26"/>
      <c r="AS26"/>
    </row>
    <row r="27" spans="2:45" ht="13.5" thickBot="1" x14ac:dyDescent="0.25">
      <c r="B27" s="105"/>
      <c r="C27" s="126"/>
      <c r="D27" s="160"/>
      <c r="E27" s="160"/>
      <c r="F27" s="160"/>
      <c r="G27" s="190" t="s">
        <v>285</v>
      </c>
      <c r="H27" s="191">
        <f>I25/E19</f>
        <v>1.0131204619863285</v>
      </c>
      <c r="I27" s="160"/>
      <c r="J27" s="129"/>
      <c r="M27" s="105"/>
      <c r="N27" s="113"/>
      <c r="O27" s="118"/>
      <c r="P27" s="125" t="s">
        <v>1</v>
      </c>
      <c r="Q27" s="118">
        <f>E6*E6/0.85/E5/E3/2</f>
        <v>44.117647058823529</v>
      </c>
      <c r="R27" s="118"/>
      <c r="S27" s="118"/>
      <c r="T27" s="116"/>
      <c r="V27" s="113"/>
      <c r="W27" s="118"/>
      <c r="X27" s="118" t="s">
        <v>242</v>
      </c>
      <c r="Y27" s="118" t="s">
        <v>287</v>
      </c>
      <c r="Z27" s="118" t="s">
        <v>288</v>
      </c>
      <c r="AA27" s="118"/>
      <c r="AB27" s="116"/>
      <c r="AC27" s="105"/>
      <c r="AK27"/>
      <c r="AL27"/>
      <c r="AM27"/>
      <c r="AN27"/>
      <c r="AO27"/>
      <c r="AP27"/>
      <c r="AQ27"/>
      <c r="AR27"/>
      <c r="AS27"/>
    </row>
    <row r="28" spans="2:45" ht="13.5" thickBot="1" x14ac:dyDescent="0.25">
      <c r="B28" s="105"/>
      <c r="C28" s="105"/>
      <c r="D28" s="105"/>
      <c r="E28" s="105"/>
      <c r="F28" s="105"/>
      <c r="G28" s="105"/>
      <c r="H28" s="105"/>
      <c r="I28" s="105"/>
      <c r="J28" s="105"/>
      <c r="M28" s="105"/>
      <c r="N28" s="113"/>
      <c r="O28" s="118"/>
      <c r="P28" s="125" t="s">
        <v>253</v>
      </c>
      <c r="Q28" s="193">
        <f>-E6*R23</f>
        <v>-356.25</v>
      </c>
      <c r="R28" s="118"/>
      <c r="S28" s="118"/>
      <c r="T28" s="116"/>
      <c r="V28" s="113"/>
      <c r="W28" s="114" t="str">
        <f>D23</f>
        <v>2nd Layer</v>
      </c>
      <c r="X28" s="118">
        <f>I23</f>
        <v>0</v>
      </c>
      <c r="Y28" s="118">
        <f>IF(ISNUMBER(VLOOKUP(E23,'Bar Sizes'!$D$8:$J$18,7)),VLOOKUP(E23,'Bar Sizes'!$D$8:$J$18,7),0)</f>
        <v>0</v>
      </c>
      <c r="Z28" s="118">
        <f>E4-E11-Y29-E25-Y28/2</f>
        <v>4.625</v>
      </c>
      <c r="AA28" s="118">
        <f>Z28*X28</f>
        <v>0</v>
      </c>
      <c r="AB28" s="116"/>
      <c r="AC28" s="105"/>
      <c r="AK28"/>
      <c r="AL28"/>
      <c r="AM28"/>
      <c r="AN28"/>
      <c r="AO28"/>
      <c r="AP28"/>
      <c r="AQ28"/>
      <c r="AR28"/>
      <c r="AS28"/>
    </row>
    <row r="29" spans="2:45" x14ac:dyDescent="0.2">
      <c r="C29" s="106" t="s">
        <v>289</v>
      </c>
      <c r="D29" s="107"/>
      <c r="E29" s="107"/>
      <c r="F29" s="107"/>
      <c r="G29" s="107"/>
      <c r="H29" s="107"/>
      <c r="I29" s="107"/>
      <c r="J29" s="108"/>
      <c r="M29" s="105"/>
      <c r="N29" s="113"/>
      <c r="O29" s="118"/>
      <c r="P29" s="125" t="s">
        <v>254</v>
      </c>
      <c r="Q29" s="118">
        <f>E7/Q24</f>
        <v>145.66000000000003</v>
      </c>
      <c r="R29" s="118"/>
      <c r="S29" s="118"/>
      <c r="T29" s="116"/>
      <c r="V29" s="113"/>
      <c r="W29" s="114" t="str">
        <f>D24</f>
        <v>Bottom Layer</v>
      </c>
      <c r="X29" s="118">
        <f>I24</f>
        <v>0.43764705882352944</v>
      </c>
      <c r="Y29" s="118">
        <f>IF(ISNUMBER(VLOOKUP(E24,'Bar Sizes'!$D$8:$J$18,7)),VLOOKUP(E24,'Bar Sizes'!$D$8:$J$18,7),0)</f>
        <v>0.625</v>
      </c>
      <c r="Z29" s="118">
        <f>E4-E11-Y29/2</f>
        <v>5.9375</v>
      </c>
      <c r="AA29" s="118">
        <f>Z29*X29</f>
        <v>2.598529411764706</v>
      </c>
      <c r="AB29" s="116"/>
      <c r="AC29" s="105"/>
    </row>
    <row r="30" spans="2:45" x14ac:dyDescent="0.2">
      <c r="C30" s="113"/>
      <c r="D30" s="114" t="s">
        <v>290</v>
      </c>
      <c r="E30" s="178">
        <f>I25*E6*(AA31-I25*E6/(0.85*E5*E3*2))</f>
        <v>147.46169346631387</v>
      </c>
      <c r="F30" s="119" t="s">
        <v>251</v>
      </c>
      <c r="G30" s="119"/>
      <c r="H30" s="118"/>
      <c r="I30" s="114" t="s">
        <v>291</v>
      </c>
      <c r="J30" s="194">
        <f>Z35</f>
        <v>2.0524949596774193E-2</v>
      </c>
      <c r="K30" s="198"/>
      <c r="M30" s="105"/>
      <c r="N30" s="113"/>
      <c r="O30" s="118"/>
      <c r="P30" s="125" t="s">
        <v>257</v>
      </c>
      <c r="Q30" s="118">
        <f>(-Q28-SQRT(Q28*Q28-4*Q27*Q29))/2/Q27</f>
        <v>0.4319792909576386</v>
      </c>
      <c r="R30" s="118"/>
      <c r="S30" s="118"/>
      <c r="T30" s="116"/>
      <c r="U30" s="105"/>
      <c r="V30" s="113"/>
      <c r="W30" s="118"/>
      <c r="X30" s="118">
        <f>I25</f>
        <v>0.43764705882352944</v>
      </c>
      <c r="Y30" s="118"/>
      <c r="Z30" s="118"/>
      <c r="AA30" s="118">
        <f>SUM(AA28:AA29)</f>
        <v>2.598529411764706</v>
      </c>
      <c r="AB30" s="116"/>
      <c r="AC30" s="105"/>
      <c r="AD30" s="105"/>
      <c r="AE30" s="105"/>
      <c r="AF30" s="105"/>
      <c r="AH30" s="105"/>
    </row>
    <row r="31" spans="2:45" x14ac:dyDescent="0.2">
      <c r="C31" s="113"/>
      <c r="D31" s="114" t="s">
        <v>292</v>
      </c>
      <c r="E31" s="195">
        <f>Z36</f>
        <v>0.9</v>
      </c>
      <c r="F31" s="119"/>
      <c r="G31" s="119"/>
      <c r="H31" s="192"/>
      <c r="I31" s="196" t="str">
        <f>IF(Z35&gt;=0.005,"Tension Controlled, OK",IF(Z35&lt;0.004,"Over-Reinforced, NG","Transition Zone, OK"))</f>
        <v>Tension Controlled, OK</v>
      </c>
      <c r="J31" s="197"/>
      <c r="K31" s="198"/>
      <c r="M31" s="105"/>
      <c r="N31" s="113"/>
      <c r="O31" s="118"/>
      <c r="P31" s="125" t="s">
        <v>260</v>
      </c>
      <c r="Q31" s="118">
        <f>(-Q28+SQRT(Q28*Q28-4*Q27*Q29))/2/Q27</f>
        <v>7.6430207090423616</v>
      </c>
      <c r="R31" s="114" t="s">
        <v>295</v>
      </c>
      <c r="S31" s="192">
        <f>MIN(Q30:Q31)</f>
        <v>0.4319792909576386</v>
      </c>
      <c r="T31" s="116"/>
      <c r="U31" s="105"/>
      <c r="V31" s="113"/>
      <c r="W31" s="118"/>
      <c r="X31" s="118"/>
      <c r="Y31" s="118"/>
      <c r="Z31" s="114" t="s">
        <v>283</v>
      </c>
      <c r="AA31" s="118">
        <f>AA30/X30</f>
        <v>5.9375</v>
      </c>
      <c r="AB31" s="116"/>
      <c r="AC31" s="105"/>
      <c r="AD31" s="105"/>
      <c r="AE31" s="105"/>
      <c r="AF31" s="105"/>
      <c r="AH31" s="105"/>
    </row>
    <row r="32" spans="2:45" ht="13.5" thickBot="1" x14ac:dyDescent="0.25">
      <c r="C32" s="138"/>
      <c r="D32" s="190" t="s">
        <v>293</v>
      </c>
      <c r="E32" s="199">
        <f>E30*Z36</f>
        <v>132.7155241196825</v>
      </c>
      <c r="F32" s="200" t="s">
        <v>251</v>
      </c>
      <c r="G32" s="127"/>
      <c r="H32" s="200"/>
      <c r="I32" s="128" t="s">
        <v>294</v>
      </c>
      <c r="J32" s="201">
        <f>E32/E7</f>
        <v>1.0123691711266913</v>
      </c>
      <c r="K32" s="198"/>
      <c r="M32" s="105"/>
      <c r="N32" s="113"/>
      <c r="O32" s="118"/>
      <c r="P32" s="118"/>
      <c r="Q32" s="118"/>
      <c r="R32" s="118"/>
      <c r="S32" s="118"/>
      <c r="T32" s="116"/>
      <c r="U32" s="105"/>
      <c r="V32" s="138"/>
      <c r="W32" s="160"/>
      <c r="X32" s="160"/>
      <c r="Y32" s="160"/>
      <c r="Z32" s="128" t="s">
        <v>296</v>
      </c>
      <c r="AA32" s="160">
        <f>MAX(Z28:Z29)</f>
        <v>5.9375</v>
      </c>
      <c r="AB32" s="129"/>
      <c r="AC32" s="105"/>
      <c r="AD32" s="105"/>
      <c r="AE32" s="105"/>
      <c r="AF32" s="105"/>
      <c r="AH32" s="105"/>
    </row>
    <row r="33" spans="2:34" ht="13.5" thickBot="1" x14ac:dyDescent="0.25">
      <c r="C33"/>
      <c r="D33"/>
      <c r="E33"/>
      <c r="F33"/>
      <c r="G33"/>
      <c r="H33"/>
      <c r="I33"/>
      <c r="J33"/>
      <c r="K33"/>
      <c r="M33" s="105"/>
      <c r="N33" s="113"/>
      <c r="O33" s="192" t="s">
        <v>297</v>
      </c>
      <c r="P33" s="118"/>
      <c r="Q33" s="118"/>
      <c r="R33" s="118"/>
      <c r="S33" s="118"/>
      <c r="T33" s="116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H33" s="105"/>
    </row>
    <row r="34" spans="2:34" x14ac:dyDescent="0.2">
      <c r="C34"/>
      <c r="D34"/>
      <c r="E34"/>
      <c r="F34"/>
      <c r="G34"/>
      <c r="H34"/>
      <c r="I34"/>
      <c r="J34"/>
      <c r="K34"/>
      <c r="M34" s="105"/>
      <c r="N34" s="113"/>
      <c r="O34" s="118"/>
      <c r="P34" s="114" t="s">
        <v>290</v>
      </c>
      <c r="Q34" s="118">
        <f>S31*E6*(R23-S31*E6/(0.85*E5*E3*2))</f>
        <v>145.66000000000005</v>
      </c>
      <c r="R34" s="118"/>
      <c r="S34" s="118"/>
      <c r="T34" s="116"/>
      <c r="U34" s="105"/>
      <c r="V34" s="202"/>
      <c r="W34" s="203" t="s">
        <v>298</v>
      </c>
      <c r="X34" s="107"/>
      <c r="Y34" s="107"/>
      <c r="Z34" s="107"/>
      <c r="AA34" s="107"/>
      <c r="AB34" s="107"/>
      <c r="AC34" s="107"/>
      <c r="AD34" s="107"/>
      <c r="AE34" s="108"/>
      <c r="AF34" s="105"/>
      <c r="AG34" s="105"/>
      <c r="AH34" s="105"/>
    </row>
    <row r="35" spans="2:34" x14ac:dyDescent="0.2">
      <c r="C35"/>
      <c r="D35"/>
      <c r="E35"/>
      <c r="F35"/>
      <c r="G35"/>
      <c r="H35"/>
      <c r="I35"/>
      <c r="J35"/>
      <c r="K35"/>
      <c r="M35" s="105"/>
      <c r="N35" s="113"/>
      <c r="O35" s="118"/>
      <c r="P35" s="114" t="s">
        <v>293</v>
      </c>
      <c r="Q35" s="118">
        <f>Q34*Q24</f>
        <v>131.09400000000005</v>
      </c>
      <c r="R35" s="118" t="s">
        <v>299</v>
      </c>
      <c r="S35" s="118"/>
      <c r="T35" s="116"/>
      <c r="U35" s="105"/>
      <c r="V35" s="113"/>
      <c r="W35" s="109"/>
      <c r="X35" s="109"/>
      <c r="Y35" s="114" t="s">
        <v>300</v>
      </c>
      <c r="Z35" s="204">
        <f>0.003*(R39/(I25*E6/(0.85*E5*E3*R40))-1)</f>
        <v>2.0524949596774193E-2</v>
      </c>
      <c r="AA35" s="118"/>
      <c r="AB35" s="118"/>
      <c r="AC35" s="118"/>
      <c r="AD35" s="118">
        <f>R47+(R46-R47)/(Q46-Q47)*(Z35-Q47)</f>
        <v>2.2241868773719164</v>
      </c>
      <c r="AE35" s="116"/>
      <c r="AF35" s="105"/>
      <c r="AG35" s="105"/>
      <c r="AH35" s="105"/>
    </row>
    <row r="36" spans="2:34" x14ac:dyDescent="0.2">
      <c r="C36"/>
      <c r="D36"/>
      <c r="E36"/>
      <c r="F36"/>
      <c r="G36"/>
      <c r="H36"/>
      <c r="I36"/>
      <c r="J36"/>
      <c r="K36"/>
      <c r="M36" s="105"/>
      <c r="N36" s="113"/>
      <c r="O36" s="118"/>
      <c r="P36" s="118" t="s">
        <v>301</v>
      </c>
      <c r="Q36" s="118"/>
      <c r="R36" s="118"/>
      <c r="S36" s="118"/>
      <c r="T36" s="116"/>
      <c r="U36" s="105"/>
      <c r="V36" s="113"/>
      <c r="W36" s="109"/>
      <c r="X36" s="109"/>
      <c r="Y36" s="114" t="s">
        <v>292</v>
      </c>
      <c r="Z36" s="153">
        <f>IF(AD35&gt;R46,R46,IF(AD35&lt;R47,R47,AD35))</f>
        <v>0.9</v>
      </c>
      <c r="AA36" s="192" t="str">
        <f>IF(Z36=Q24,"Phi Matches","Phi Doesn't Match, Error = "&amp;TEXT(Z36-Q24,"0.0000###"))</f>
        <v>Phi Matches</v>
      </c>
      <c r="AB36" s="118"/>
      <c r="AC36" s="114" t="s">
        <v>302</v>
      </c>
      <c r="AD36" s="118" t="b">
        <f>IF(Z35&gt;=0.004,TRUE,FALSE)</f>
        <v>1</v>
      </c>
      <c r="AE36" s="116" t="s">
        <v>303</v>
      </c>
      <c r="AF36" s="105"/>
      <c r="AG36" s="105"/>
      <c r="AH36" s="105"/>
    </row>
    <row r="37" spans="2:34" ht="13.5" thickBot="1" x14ac:dyDescent="0.25">
      <c r="C37"/>
      <c r="D37"/>
      <c r="E37"/>
      <c r="F37"/>
      <c r="G37"/>
      <c r="H37"/>
      <c r="I37"/>
      <c r="J37"/>
      <c r="K37"/>
      <c r="M37" s="105"/>
      <c r="N37" s="113"/>
      <c r="O37" s="118"/>
      <c r="P37" s="118"/>
      <c r="Q37" s="192" t="str">
        <f>G17</f>
        <v>Tension Controlled, OK</v>
      </c>
      <c r="R37" s="118"/>
      <c r="S37" s="118"/>
      <c r="T37" s="116"/>
      <c r="U37" s="105"/>
      <c r="V37" s="138"/>
      <c r="W37" s="224"/>
      <c r="X37" s="224"/>
      <c r="Y37" s="160"/>
      <c r="Z37" s="224" t="str">
        <f>I31</f>
        <v>Tension Controlled, OK</v>
      </c>
      <c r="AA37" s="160"/>
      <c r="AB37" s="160"/>
      <c r="AC37" s="160"/>
      <c r="AD37" s="160"/>
      <c r="AE37" s="129"/>
      <c r="AF37" s="105"/>
      <c r="AG37" s="105"/>
      <c r="AH37" s="105"/>
    </row>
    <row r="38" spans="2:34" x14ac:dyDescent="0.2">
      <c r="C38"/>
      <c r="D38"/>
      <c r="E38"/>
      <c r="F38"/>
      <c r="G38"/>
      <c r="H38"/>
      <c r="I38"/>
      <c r="J38"/>
      <c r="K38"/>
      <c r="M38" s="105"/>
      <c r="N38" s="113"/>
      <c r="O38" s="192" t="s">
        <v>304</v>
      </c>
      <c r="P38" s="118"/>
      <c r="Q38" s="118"/>
      <c r="R38" s="118"/>
      <c r="S38" s="118"/>
      <c r="T38" s="116"/>
      <c r="U38" s="105"/>
      <c r="V38"/>
      <c r="W38"/>
      <c r="X38"/>
      <c r="Y38"/>
      <c r="Z38"/>
      <c r="AA38"/>
      <c r="AB38"/>
      <c r="AC38"/>
      <c r="AD38"/>
      <c r="AE38"/>
      <c r="AF38"/>
      <c r="AG38"/>
    </row>
    <row r="39" spans="2:34" x14ac:dyDescent="0.2">
      <c r="C39"/>
      <c r="D39"/>
      <c r="E39"/>
      <c r="F39"/>
      <c r="G39"/>
      <c r="H39"/>
      <c r="I39"/>
      <c r="J39"/>
      <c r="K39"/>
      <c r="M39" s="105"/>
      <c r="N39" s="113"/>
      <c r="O39" s="118"/>
      <c r="P39" s="118"/>
      <c r="Q39" s="114" t="s">
        <v>305</v>
      </c>
      <c r="R39" s="179">
        <f>X25</f>
        <v>5.9375</v>
      </c>
      <c r="S39" s="118" t="s">
        <v>205</v>
      </c>
      <c r="T39" s="116"/>
      <c r="U39" s="105"/>
      <c r="V39"/>
      <c r="W39"/>
      <c r="X39"/>
      <c r="Y39"/>
      <c r="Z39"/>
      <c r="AA39"/>
      <c r="AB39"/>
      <c r="AC39"/>
      <c r="AD39"/>
      <c r="AE39"/>
      <c r="AF39"/>
      <c r="AG39"/>
    </row>
    <row r="40" spans="2:34" x14ac:dyDescent="0.2">
      <c r="C40"/>
      <c r="D40"/>
      <c r="E40"/>
      <c r="F40"/>
      <c r="G40"/>
      <c r="H40"/>
      <c r="I40"/>
      <c r="J40"/>
      <c r="K40"/>
      <c r="M40" s="105"/>
      <c r="N40" s="113"/>
      <c r="O40" s="118"/>
      <c r="P40" s="118"/>
      <c r="Q40" s="114" t="s">
        <v>306</v>
      </c>
      <c r="R40" s="118">
        <f>IF(E5&lt;=4,0.85,IF(E5&gt;=8,0.65,0.65+(8-E5)/20))</f>
        <v>0.85</v>
      </c>
      <c r="S40" s="118"/>
      <c r="T40" s="116"/>
      <c r="U40" s="105"/>
      <c r="V40"/>
      <c r="W40"/>
      <c r="X40"/>
      <c r="Y40"/>
      <c r="Z40"/>
      <c r="AA40"/>
      <c r="AB40"/>
      <c r="AC40"/>
      <c r="AD40"/>
      <c r="AE40"/>
      <c r="AF40"/>
      <c r="AG40"/>
    </row>
    <row r="41" spans="2:34" x14ac:dyDescent="0.2">
      <c r="C41"/>
      <c r="D41"/>
      <c r="E41"/>
      <c r="F41"/>
      <c r="G41"/>
      <c r="H41"/>
      <c r="I41"/>
      <c r="J41"/>
      <c r="K41"/>
      <c r="M41" s="105"/>
      <c r="N41" s="113"/>
      <c r="O41" s="118"/>
      <c r="P41" s="118"/>
      <c r="Q41" s="114" t="s">
        <v>307</v>
      </c>
      <c r="R41" s="118">
        <f>S31*E6/(0.85*E5*E3*R40)</f>
        <v>0.74736901549764467</v>
      </c>
      <c r="S41" s="118" t="s">
        <v>205</v>
      </c>
      <c r="T41" s="116"/>
      <c r="U41" s="105"/>
      <c r="V41"/>
      <c r="W41"/>
      <c r="X41"/>
      <c r="Y41"/>
      <c r="Z41"/>
      <c r="AA41"/>
      <c r="AB41"/>
      <c r="AC41"/>
      <c r="AD41"/>
      <c r="AE41"/>
      <c r="AF41"/>
      <c r="AG41"/>
    </row>
    <row r="42" spans="2:34" x14ac:dyDescent="0.2">
      <c r="C42"/>
      <c r="D42"/>
      <c r="E42"/>
      <c r="F42"/>
      <c r="G42"/>
      <c r="H42"/>
      <c r="I42"/>
      <c r="J42"/>
      <c r="K42"/>
      <c r="M42" s="105"/>
      <c r="N42" s="113"/>
      <c r="O42" s="118"/>
      <c r="P42" s="118"/>
      <c r="Q42" s="114" t="s">
        <v>300</v>
      </c>
      <c r="R42" s="204">
        <f>0.003*(R39/R41-1)</f>
        <v>2.0833607803688963E-2</v>
      </c>
      <c r="S42" s="118"/>
      <c r="T42" s="116"/>
      <c r="U42" s="105"/>
      <c r="V42"/>
      <c r="W42"/>
      <c r="X42"/>
      <c r="Y42"/>
      <c r="Z42"/>
      <c r="AA42"/>
      <c r="AB42"/>
      <c r="AC42"/>
      <c r="AD42"/>
      <c r="AE42"/>
      <c r="AF42"/>
      <c r="AG42"/>
    </row>
    <row r="43" spans="2:34" x14ac:dyDescent="0.2">
      <c r="B43"/>
      <c r="C43"/>
      <c r="D43"/>
      <c r="E43"/>
      <c r="F43"/>
      <c r="G43"/>
      <c r="H43"/>
      <c r="I43"/>
      <c r="J43"/>
      <c r="K43"/>
      <c r="M43" s="105"/>
      <c r="N43" s="113"/>
      <c r="O43" s="118"/>
      <c r="P43" s="118"/>
      <c r="Q43" s="118"/>
      <c r="R43" s="105"/>
      <c r="S43" s="118"/>
      <c r="T43" s="116"/>
      <c r="U43" s="105"/>
      <c r="V43"/>
      <c r="W43"/>
      <c r="X43"/>
      <c r="Y43"/>
      <c r="Z43"/>
      <c r="AA43"/>
      <c r="AB43"/>
      <c r="AC43"/>
      <c r="AD43"/>
      <c r="AE43"/>
      <c r="AF43"/>
      <c r="AG43"/>
    </row>
    <row r="44" spans="2:34" ht="13.5" thickBot="1" x14ac:dyDescent="0.25">
      <c r="B44"/>
      <c r="C44"/>
      <c r="D44"/>
      <c r="E44"/>
      <c r="H44"/>
      <c r="I44"/>
      <c r="J44"/>
      <c r="K44"/>
      <c r="M44" s="105"/>
      <c r="N44" s="113"/>
      <c r="O44" s="118"/>
      <c r="P44" s="118"/>
      <c r="Q44" s="114" t="s">
        <v>308</v>
      </c>
      <c r="R44" s="118"/>
      <c r="S44" s="118"/>
      <c r="T44" s="116"/>
      <c r="U44" s="105"/>
      <c r="V44"/>
      <c r="W44"/>
      <c r="X44"/>
      <c r="Y44"/>
      <c r="Z44"/>
      <c r="AA44"/>
      <c r="AB44"/>
      <c r="AC44"/>
      <c r="AD44"/>
      <c r="AE44"/>
      <c r="AF44"/>
      <c r="AG44"/>
    </row>
    <row r="45" spans="2:34" x14ac:dyDescent="0.2">
      <c r="B45"/>
      <c r="C45" s="72" t="s">
        <v>344</v>
      </c>
      <c r="D45" s="4"/>
      <c r="E45" s="4"/>
      <c r="F45" s="4"/>
      <c r="G45" s="4"/>
      <c r="H45" s="4"/>
      <c r="I45" s="4"/>
      <c r="J45" s="5"/>
      <c r="K45"/>
      <c r="M45" s="105"/>
      <c r="N45" s="113"/>
      <c r="O45" s="118"/>
      <c r="P45" s="118"/>
      <c r="Q45" s="118" t="s">
        <v>309</v>
      </c>
      <c r="R45" s="118" t="s">
        <v>310</v>
      </c>
      <c r="S45" s="118"/>
      <c r="T45" s="116"/>
      <c r="U45" s="105"/>
      <c r="V45"/>
      <c r="W45" s="276" t="s">
        <v>23</v>
      </c>
      <c r="X45" s="277" t="s">
        <v>24</v>
      </c>
      <c r="Y45" s="277" t="s">
        <v>338</v>
      </c>
      <c r="Z45" s="278" t="s">
        <v>339</v>
      </c>
      <c r="AA45"/>
      <c r="AB45"/>
      <c r="AC45"/>
      <c r="AD45"/>
      <c r="AE45"/>
      <c r="AF45"/>
      <c r="AG45"/>
    </row>
    <row r="46" spans="2:34" x14ac:dyDescent="0.2">
      <c r="B46"/>
      <c r="C46" s="37"/>
      <c r="D46" s="38" t="s">
        <v>349</v>
      </c>
      <c r="E46" s="38"/>
      <c r="F46" s="38"/>
      <c r="G46" s="38"/>
      <c r="H46" s="38"/>
      <c r="I46" s="38"/>
      <c r="J46" s="7"/>
      <c r="K46"/>
      <c r="M46" s="105"/>
      <c r="N46" s="113"/>
      <c r="O46" s="118"/>
      <c r="P46" s="114" t="s">
        <v>311</v>
      </c>
      <c r="Q46" s="118">
        <v>5.0000000000000001E-3</v>
      </c>
      <c r="R46" s="118">
        <v>0.9</v>
      </c>
      <c r="S46" s="118"/>
      <c r="T46" s="116"/>
      <c r="U46" s="105"/>
      <c r="V46"/>
      <c r="W46" s="476" t="str">
        <f>'English LRFD'!C60</f>
        <v>MT-28</v>
      </c>
      <c r="X46" s="38">
        <v>3.0833333333333335</v>
      </c>
      <c r="Y46" s="38">
        <v>0.5</v>
      </c>
      <c r="Z46" s="477">
        <f t="shared" ref="Z46:Z54" si="0">X46-(X46-Y46)/2</f>
        <v>1.7916666666666667</v>
      </c>
      <c r="AA46"/>
      <c r="AB46"/>
      <c r="AC46"/>
      <c r="AD46"/>
      <c r="AE46"/>
      <c r="AF46"/>
      <c r="AG46"/>
    </row>
    <row r="47" spans="2:34" x14ac:dyDescent="0.2">
      <c r="B47"/>
      <c r="C47" s="37"/>
      <c r="D47" s="43" t="s">
        <v>345</v>
      </c>
      <c r="E47" s="58">
        <f>E4-AA31</f>
        <v>1.3125</v>
      </c>
      <c r="F47" s="38" t="s">
        <v>204</v>
      </c>
      <c r="G47" s="38"/>
      <c r="H47" s="38"/>
      <c r="I47" s="38"/>
      <c r="J47" s="7"/>
      <c r="K47"/>
      <c r="M47" s="105"/>
      <c r="N47" s="113"/>
      <c r="O47" s="118"/>
      <c r="P47" s="114" t="s">
        <v>312</v>
      </c>
      <c r="Q47" s="118">
        <f>E6/29000</f>
        <v>2.0689655172413794E-3</v>
      </c>
      <c r="R47" s="118">
        <v>0.65</v>
      </c>
      <c r="S47" s="118"/>
      <c r="T47" s="116"/>
      <c r="U47" s="105"/>
      <c r="V47"/>
      <c r="W47" s="476" t="str">
        <f>'English LRFD'!C61</f>
        <v>A</v>
      </c>
      <c r="X47" s="38">
        <v>1.3333333333333333</v>
      </c>
      <c r="Y47" s="38">
        <v>0.5</v>
      </c>
      <c r="Z47" s="477">
        <f t="shared" si="0"/>
        <v>0.91666666666666663</v>
      </c>
      <c r="AA47"/>
      <c r="AB47"/>
      <c r="AC47"/>
      <c r="AD47"/>
      <c r="AE47"/>
      <c r="AF47"/>
      <c r="AG47"/>
    </row>
    <row r="48" spans="2:34" x14ac:dyDescent="0.2">
      <c r="B48"/>
      <c r="C48" s="37"/>
      <c r="D48" s="43" t="s">
        <v>346</v>
      </c>
      <c r="E48" s="38">
        <f>'Custom Design'!F13</f>
        <v>0.75</v>
      </c>
      <c r="F48" s="38" t="str">
        <f>'Custom Design'!G13</f>
        <v>Class 2</v>
      </c>
      <c r="G48" s="38"/>
      <c r="H48" s="673" t="s">
        <v>585</v>
      </c>
      <c r="I48" s="674">
        <f>E3/F24</f>
        <v>8.5</v>
      </c>
      <c r="J48" s="7"/>
      <c r="K48"/>
      <c r="M48" s="105"/>
      <c r="N48" s="113"/>
      <c r="O48" s="118"/>
      <c r="P48" s="114" t="s">
        <v>313</v>
      </c>
      <c r="Q48" s="118">
        <f>R42</f>
        <v>2.0833607803688963E-2</v>
      </c>
      <c r="R48" s="118">
        <f>R47+(R46-R47)/(Q46-Q47)*(Q48-Q47)</f>
        <v>2.2505136067852352</v>
      </c>
      <c r="S48" s="118"/>
      <c r="T48" s="116"/>
      <c r="U48" s="105"/>
      <c r="V48"/>
      <c r="W48" s="476" t="str">
        <f>'English LRFD'!C62</f>
        <v>IV</v>
      </c>
      <c r="X48" s="38">
        <v>1.6666666666666665</v>
      </c>
      <c r="Y48" s="38">
        <v>0.6666666</v>
      </c>
      <c r="Z48" s="477">
        <f t="shared" si="0"/>
        <v>1.1666666333333333</v>
      </c>
      <c r="AA48"/>
      <c r="AB48"/>
      <c r="AC48"/>
      <c r="AD48"/>
      <c r="AE48"/>
      <c r="AF48"/>
      <c r="AG48"/>
    </row>
    <row r="49" spans="2:34" x14ac:dyDescent="0.2">
      <c r="B49"/>
      <c r="C49" s="37"/>
      <c r="D49" s="43" t="s">
        <v>347</v>
      </c>
      <c r="E49" s="38">
        <f>Z19+AG19</f>
        <v>32.589999999999996</v>
      </c>
      <c r="F49" s="38" t="s">
        <v>52</v>
      </c>
      <c r="G49" s="38"/>
      <c r="H49" s="673" t="s">
        <v>584</v>
      </c>
      <c r="I49" s="96">
        <f>700*E48/E52/(I48+2*E47)</f>
        <v>35.865168539325843</v>
      </c>
      <c r="J49" s="7"/>
      <c r="K49"/>
      <c r="M49" s="105"/>
      <c r="N49" s="113"/>
      <c r="O49" s="118"/>
      <c r="P49" s="118"/>
      <c r="Q49" s="114" t="s">
        <v>314</v>
      </c>
      <c r="R49" s="118">
        <f>IF(R48&gt;R46,R46,IF(R48&lt;R47,R47,R48))</f>
        <v>0.9</v>
      </c>
      <c r="S49" s="118"/>
      <c r="T49" s="116"/>
      <c r="U49" s="105"/>
      <c r="V49"/>
      <c r="W49" s="476" t="str">
        <f>'English LRFD'!C63</f>
        <v>M72</v>
      </c>
      <c r="X49" s="38">
        <v>2.5</v>
      </c>
      <c r="Y49" s="38">
        <v>0.5</v>
      </c>
      <c r="Z49" s="477">
        <f t="shared" si="0"/>
        <v>1.5</v>
      </c>
      <c r="AA49"/>
      <c r="AB49"/>
      <c r="AC49"/>
      <c r="AD49"/>
      <c r="AE49"/>
      <c r="AF49"/>
      <c r="AG49"/>
    </row>
    <row r="50" spans="2:34" ht="13.5" thickBot="1" x14ac:dyDescent="0.25">
      <c r="B50"/>
      <c r="C50" s="37"/>
      <c r="D50" s="43" t="s">
        <v>348</v>
      </c>
      <c r="E50" s="149">
        <f>E4</f>
        <v>7.25</v>
      </c>
      <c r="F50" s="38" t="s">
        <v>204</v>
      </c>
      <c r="G50" s="38"/>
      <c r="H50" s="38"/>
      <c r="I50" s="38"/>
      <c r="J50" s="7"/>
      <c r="K50"/>
      <c r="M50" s="105"/>
      <c r="N50" s="206"/>
      <c r="O50" s="207"/>
      <c r="P50" s="207"/>
      <c r="Q50" s="207"/>
      <c r="R50" s="208" t="str">
        <f>IF(R49=Q24,"Phi Matches","Phi Doesn't Match, Error = "&amp;TEXT(R49-Q24,"0.0000###"))</f>
        <v>Phi Matches</v>
      </c>
      <c r="S50" s="207"/>
      <c r="T50" s="209"/>
      <c r="U50" s="105"/>
      <c r="V50"/>
      <c r="W50" s="476" t="str">
        <f>'English LRFD'!C64</f>
        <v>MTS-36</v>
      </c>
      <c r="X50" s="38">
        <v>4</v>
      </c>
      <c r="Y50" s="38">
        <v>0.5</v>
      </c>
      <c r="Z50" s="477">
        <f t="shared" si="0"/>
        <v>2.25</v>
      </c>
      <c r="AA50"/>
      <c r="AB50"/>
      <c r="AC50"/>
      <c r="AD50"/>
      <c r="AE50"/>
      <c r="AF50"/>
      <c r="AG50"/>
      <c r="AH50" s="105"/>
    </row>
    <row r="51" spans="2:34" ht="14.25" x14ac:dyDescent="0.25">
      <c r="B51"/>
      <c r="C51" s="37"/>
      <c r="D51" s="38"/>
      <c r="E51" s="38"/>
      <c r="F51" s="38"/>
      <c r="G51" s="38"/>
      <c r="H51" s="38"/>
      <c r="I51" s="38"/>
      <c r="J51" s="7"/>
      <c r="K51"/>
      <c r="M51" s="105"/>
      <c r="N51" s="202"/>
      <c r="O51" s="107"/>
      <c r="P51" s="205" t="s">
        <v>324</v>
      </c>
      <c r="Q51" s="107"/>
      <c r="R51" s="107"/>
      <c r="S51" s="107"/>
      <c r="T51" s="108"/>
      <c r="U51" s="105"/>
      <c r="V51"/>
      <c r="W51" s="476" t="str">
        <f>'English LRFD'!C65</f>
        <v>MTS-45</v>
      </c>
      <c r="X51" s="38">
        <v>4</v>
      </c>
      <c r="Y51" s="38">
        <v>0.5</v>
      </c>
      <c r="Z51" s="477">
        <f t="shared" si="0"/>
        <v>2.25</v>
      </c>
      <c r="AA51"/>
      <c r="AB51"/>
      <c r="AC51"/>
      <c r="AD51"/>
      <c r="AE51"/>
      <c r="AF51"/>
      <c r="AG51"/>
      <c r="AH51" s="105"/>
    </row>
    <row r="52" spans="2:34" x14ac:dyDescent="0.2">
      <c r="B52"/>
      <c r="C52" s="37"/>
      <c r="D52" s="43" t="s">
        <v>351</v>
      </c>
      <c r="E52" s="68">
        <f>1+E47/0.7/(E50-E47)</f>
        <v>1.3157894736842106</v>
      </c>
      <c r="F52" s="38"/>
      <c r="G52" s="38"/>
      <c r="H52" s="38"/>
      <c r="I52" s="38"/>
      <c r="J52" s="7"/>
      <c r="K52"/>
      <c r="M52" s="105"/>
      <c r="N52" s="113"/>
      <c r="O52" s="118"/>
      <c r="P52" s="118"/>
      <c r="Q52" s="114" t="s">
        <v>315</v>
      </c>
      <c r="R52" s="118"/>
      <c r="S52" s="118"/>
      <c r="T52" s="116"/>
      <c r="U52" s="105"/>
      <c r="V52"/>
      <c r="W52" s="476" t="str">
        <f>'English LRFD'!C66</f>
        <v>MTS-54</v>
      </c>
      <c r="X52" s="38">
        <v>4</v>
      </c>
      <c r="Y52" s="38">
        <v>0.5</v>
      </c>
      <c r="Z52" s="477">
        <f t="shared" si="0"/>
        <v>2.25</v>
      </c>
      <c r="AA52"/>
      <c r="AB52"/>
      <c r="AC52"/>
      <c r="AD52"/>
      <c r="AE52"/>
      <c r="AF52"/>
      <c r="AG52"/>
      <c r="AH52" s="105"/>
    </row>
    <row r="53" spans="2:34" ht="14.25" x14ac:dyDescent="0.2">
      <c r="B53"/>
      <c r="C53" s="37"/>
      <c r="D53" s="38"/>
      <c r="E53" s="38"/>
      <c r="F53" s="38"/>
      <c r="G53" s="38"/>
      <c r="H53" s="38"/>
      <c r="I53" s="38"/>
      <c r="J53" s="7"/>
      <c r="K53"/>
      <c r="M53" s="105"/>
      <c r="N53" s="113"/>
      <c r="O53" s="118"/>
      <c r="P53" s="118"/>
      <c r="Q53" s="114" t="s">
        <v>316</v>
      </c>
      <c r="R53" s="153">
        <f>3*SQRT(E5*1000)*E3*R23/E6/1000</f>
        <v>0.22531228328699704</v>
      </c>
      <c r="S53" s="118" t="s">
        <v>320</v>
      </c>
      <c r="T53" s="116"/>
      <c r="U53" s="105"/>
      <c r="V53"/>
      <c r="W53" s="476" t="str">
        <f>'English LRFD'!C67</f>
        <v>MTS-72</v>
      </c>
      <c r="X53" s="38">
        <v>4</v>
      </c>
      <c r="Y53" s="38">
        <v>0.5</v>
      </c>
      <c r="Z53" s="477">
        <f t="shared" si="0"/>
        <v>2.25</v>
      </c>
      <c r="AA53"/>
      <c r="AB53"/>
      <c r="AC53"/>
      <c r="AD53"/>
      <c r="AE53"/>
      <c r="AF53"/>
      <c r="AG53"/>
      <c r="AH53" s="105"/>
    </row>
    <row r="54" spans="2:34" ht="15" x14ac:dyDescent="0.25">
      <c r="B54"/>
      <c r="C54" s="37"/>
      <c r="D54" s="43" t="s">
        <v>352</v>
      </c>
      <c r="E54" s="631">
        <f>700*E48/E52/E49-2*E47</f>
        <v>9.6180193310831559</v>
      </c>
      <c r="F54" s="38" t="s">
        <v>204</v>
      </c>
      <c r="G54" s="38"/>
      <c r="H54" s="38"/>
      <c r="I54" s="38"/>
      <c r="J54" s="7"/>
      <c r="K54"/>
      <c r="M54" s="105"/>
      <c r="N54" s="113"/>
      <c r="O54" s="118"/>
      <c r="P54" s="118"/>
      <c r="Q54" s="114" t="s">
        <v>317</v>
      </c>
      <c r="R54" s="153">
        <f>200*E3*R23/E6/1000</f>
        <v>0.23749999999999999</v>
      </c>
      <c r="S54" s="118" t="s">
        <v>320</v>
      </c>
      <c r="T54" s="116"/>
      <c r="U54" s="105"/>
      <c r="V54"/>
      <c r="W54" s="281" t="str">
        <f>'English LRFD'!C68</f>
        <v>Steel</v>
      </c>
      <c r="X54" s="282">
        <v>1</v>
      </c>
      <c r="Y54" s="282">
        <v>0</v>
      </c>
      <c r="Z54" s="283">
        <f t="shared" si="0"/>
        <v>0.5</v>
      </c>
      <c r="AA54"/>
      <c r="AB54"/>
      <c r="AC54"/>
      <c r="AD54"/>
      <c r="AE54"/>
      <c r="AF54"/>
      <c r="AG54"/>
      <c r="AH54" s="105"/>
    </row>
    <row r="55" spans="2:34" ht="15" thickBot="1" x14ac:dyDescent="0.25">
      <c r="B55"/>
      <c r="C55" s="35"/>
      <c r="D55" s="36" t="s">
        <v>353</v>
      </c>
      <c r="E55" s="36">
        <f>INT(E54*4)/4</f>
        <v>9.5</v>
      </c>
      <c r="F55" s="36" t="s">
        <v>204</v>
      </c>
      <c r="G55" s="36"/>
      <c r="H55" s="36"/>
      <c r="I55" s="36"/>
      <c r="J55" s="13"/>
      <c r="K55"/>
      <c r="M55" s="105"/>
      <c r="N55" s="138"/>
      <c r="O55" s="160"/>
      <c r="P55" s="160"/>
      <c r="Q55" s="128" t="s">
        <v>318</v>
      </c>
      <c r="R55" s="159">
        <f>MAX(R53,R54,S31)</f>
        <v>0.4319792909576386</v>
      </c>
      <c r="S55" s="160" t="s">
        <v>320</v>
      </c>
      <c r="T55" s="129"/>
      <c r="U55" s="105"/>
      <c r="V55"/>
      <c r="AA55"/>
      <c r="AB55"/>
      <c r="AC55"/>
      <c r="AD55"/>
      <c r="AE55"/>
      <c r="AF55"/>
      <c r="AG55"/>
      <c r="AH55" s="105"/>
    </row>
    <row r="56" spans="2:34" x14ac:dyDescent="0.2">
      <c r="B56"/>
      <c r="C56"/>
      <c r="D56"/>
      <c r="E56"/>
      <c r="F56"/>
      <c r="G56"/>
      <c r="H56"/>
      <c r="I56"/>
      <c r="J56"/>
      <c r="K56"/>
      <c r="M56" s="105"/>
      <c r="N56" s="105"/>
      <c r="O56" s="105"/>
      <c r="P56" s="105"/>
      <c r="Q56" s="105"/>
      <c r="R56" s="105"/>
      <c r="S56" s="105"/>
      <c r="T56" s="105"/>
      <c r="U56" s="105"/>
      <c r="V56"/>
      <c r="W56"/>
      <c r="X56"/>
      <c r="Y56"/>
      <c r="Z56"/>
      <c r="AA56"/>
      <c r="AB56"/>
      <c r="AC56"/>
      <c r="AD56"/>
      <c r="AE56"/>
      <c r="AF56"/>
      <c r="AG56"/>
      <c r="AH56" s="105"/>
    </row>
    <row r="57" spans="2:34" x14ac:dyDescent="0.2">
      <c r="M57" s="105"/>
      <c r="N57" s="105"/>
      <c r="O57" s="105"/>
      <c r="P57" s="105"/>
      <c r="Q57" s="105"/>
      <c r="R57" s="105"/>
      <c r="S57" s="105"/>
      <c r="T57" s="105"/>
      <c r="U57" s="105"/>
      <c r="V57"/>
      <c r="W57"/>
      <c r="X57"/>
      <c r="Y57"/>
      <c r="Z57"/>
      <c r="AA57"/>
      <c r="AB57"/>
      <c r="AC57"/>
      <c r="AD57"/>
      <c r="AE57"/>
      <c r="AF57"/>
      <c r="AG57"/>
      <c r="AH57" s="105"/>
    </row>
    <row r="58" spans="2:34" x14ac:dyDescent="0.2">
      <c r="V58"/>
      <c r="W58"/>
      <c r="X58"/>
      <c r="Y58"/>
      <c r="Z58"/>
      <c r="AA58"/>
      <c r="AB58"/>
      <c r="AC58"/>
      <c r="AD58"/>
      <c r="AE58"/>
      <c r="AF58"/>
      <c r="AG58"/>
    </row>
  </sheetData>
  <conditionalFormatting sqref="E32">
    <cfRule type="cellIs" dxfId="20" priority="5" stopIfTrue="1" operator="lessThan">
      <formula>$E$7</formula>
    </cfRule>
  </conditionalFormatting>
  <conditionalFormatting sqref="G27:H27">
    <cfRule type="expression" dxfId="19" priority="4" stopIfTrue="1">
      <formula>$H$27&lt;1</formula>
    </cfRule>
  </conditionalFormatting>
  <conditionalFormatting sqref="I32:J32">
    <cfRule type="expression" dxfId="18" priority="3" stopIfTrue="1">
      <formula>$J$32&lt;1</formula>
    </cfRule>
  </conditionalFormatting>
  <conditionalFormatting sqref="I31">
    <cfRule type="expression" dxfId="17" priority="2" stopIfTrue="1">
      <formula>$AD$36</formula>
    </cfRule>
  </conditionalFormatting>
  <conditionalFormatting sqref="G16">
    <cfRule type="expression" dxfId="16" priority="1" stopIfTrue="1">
      <formula>$E$16&lt;&gt;$R$49</formula>
    </cfRule>
  </conditionalFormatting>
  <dataValidations count="2">
    <dataValidation type="list" allowBlank="1" showInputMessage="1" showErrorMessage="1" sqref="E13">
      <formula1>$AK$4:$AK$7</formula1>
    </dataValidation>
    <dataValidation type="list" showInputMessage="1" showErrorMessage="1" sqref="E23:E24">
      <formula1>$AK$3:$AK$14</formula1>
    </dataValidation>
  </dataValidations>
  <printOptions horizontalCentered="1" verticalCentered="1"/>
  <pageMargins left="0.56999999999999995" right="0.43" top="0.76" bottom="0.7" header="0.4" footer="0.36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C4:N43"/>
  <sheetViews>
    <sheetView workbookViewId="0">
      <selection activeCell="K7" sqref="K7"/>
    </sheetView>
  </sheetViews>
  <sheetFormatPr defaultRowHeight="12.75" x14ac:dyDescent="0.2"/>
  <cols>
    <col min="3" max="4" width="9.85546875" customWidth="1"/>
  </cols>
  <sheetData>
    <row r="4" spans="4:14" ht="13.5" thickBot="1" x14ac:dyDescent="0.25"/>
    <row r="5" spans="4:14" ht="13.5" thickBot="1" x14ac:dyDescent="0.25">
      <c r="K5" s="210"/>
      <c r="L5" s="211" t="s">
        <v>325</v>
      </c>
      <c r="M5" s="211"/>
      <c r="N5" s="212"/>
    </row>
    <row r="6" spans="4:14" x14ac:dyDescent="0.2">
      <c r="D6" s="213" t="s">
        <v>271</v>
      </c>
      <c r="E6" s="17" t="s">
        <v>26</v>
      </c>
      <c r="F6" s="18"/>
      <c r="G6" s="17" t="s">
        <v>27</v>
      </c>
      <c r="H6" s="18"/>
      <c r="I6" s="17" t="s">
        <v>28</v>
      </c>
      <c r="J6" s="18"/>
      <c r="K6" s="214" t="s">
        <v>326</v>
      </c>
      <c r="L6" s="18"/>
      <c r="M6" s="215" t="s">
        <v>327</v>
      </c>
      <c r="N6" s="18"/>
    </row>
    <row r="7" spans="4:14" ht="13.5" thickBot="1" x14ac:dyDescent="0.25">
      <c r="D7" s="216" t="s">
        <v>328</v>
      </c>
      <c r="E7" s="19" t="s">
        <v>29</v>
      </c>
      <c r="F7" s="20" t="s">
        <v>30</v>
      </c>
      <c r="G7" s="19" t="s">
        <v>31</v>
      </c>
      <c r="H7" s="20" t="s">
        <v>32</v>
      </c>
      <c r="I7" s="19" t="s">
        <v>33</v>
      </c>
      <c r="J7" s="20" t="s">
        <v>34</v>
      </c>
      <c r="K7" s="217" t="s">
        <v>329</v>
      </c>
      <c r="L7" s="218" t="s">
        <v>330</v>
      </c>
      <c r="M7" s="217" t="s">
        <v>329</v>
      </c>
      <c r="N7" s="218" t="s">
        <v>330</v>
      </c>
    </row>
    <row r="8" spans="4:14" x14ac:dyDescent="0.2">
      <c r="D8" s="219" t="s">
        <v>35</v>
      </c>
      <c r="E8" s="17">
        <v>8.19</v>
      </c>
      <c r="F8" s="18">
        <v>1.27</v>
      </c>
      <c r="G8" s="17">
        <v>6.4</v>
      </c>
      <c r="H8" s="18">
        <v>4.3029999999999999</v>
      </c>
      <c r="I8" s="17">
        <v>3.23</v>
      </c>
      <c r="J8" s="18">
        <v>1.27</v>
      </c>
      <c r="K8" s="17"/>
      <c r="L8" s="18"/>
      <c r="M8" s="17">
        <v>8</v>
      </c>
      <c r="N8" s="18">
        <f t="shared" ref="N8:N18" si="0">M8*$J8</f>
        <v>10.16</v>
      </c>
    </row>
    <row r="9" spans="4:14" x14ac:dyDescent="0.2">
      <c r="D9" s="220" t="s">
        <v>36</v>
      </c>
      <c r="E9" s="21">
        <v>10.06</v>
      </c>
      <c r="F9" s="22">
        <v>1.56</v>
      </c>
      <c r="G9" s="21">
        <v>7.9</v>
      </c>
      <c r="H9" s="22">
        <v>5.3129999999999997</v>
      </c>
      <c r="I9" s="21">
        <v>3.58</v>
      </c>
      <c r="J9" s="22">
        <v>1.41</v>
      </c>
      <c r="K9" s="21"/>
      <c r="L9" s="22"/>
      <c r="M9" s="21">
        <v>8</v>
      </c>
      <c r="N9" s="22">
        <f t="shared" si="0"/>
        <v>11.28</v>
      </c>
    </row>
    <row r="10" spans="4:14" x14ac:dyDescent="0.2">
      <c r="D10" s="220" t="s">
        <v>37</v>
      </c>
      <c r="E10" s="21">
        <v>14.52</v>
      </c>
      <c r="F10" s="22">
        <v>2.25</v>
      </c>
      <c r="G10" s="21">
        <v>11.4</v>
      </c>
      <c r="H10" s="22">
        <v>7.65</v>
      </c>
      <c r="I10" s="21">
        <v>4.3</v>
      </c>
      <c r="J10" s="22">
        <v>1.6930000000000001</v>
      </c>
      <c r="K10" s="21"/>
      <c r="L10" s="22"/>
      <c r="M10" s="21">
        <v>10</v>
      </c>
      <c r="N10" s="22">
        <f t="shared" si="0"/>
        <v>16.93</v>
      </c>
    </row>
    <row r="11" spans="4:14" x14ac:dyDescent="0.2">
      <c r="D11" s="220" t="s">
        <v>38</v>
      </c>
      <c r="E11" s="21">
        <v>25.81</v>
      </c>
      <c r="F11" s="22">
        <v>4</v>
      </c>
      <c r="G11" s="21">
        <v>20.2</v>
      </c>
      <c r="H11" s="22">
        <v>13.6</v>
      </c>
      <c r="I11" s="21">
        <v>5.73</v>
      </c>
      <c r="J11" s="22">
        <v>2.2570000000000001</v>
      </c>
      <c r="K11" s="21"/>
      <c r="L11" s="22"/>
      <c r="M11" s="21">
        <v>10</v>
      </c>
      <c r="N11" s="22">
        <f t="shared" si="0"/>
        <v>22.57</v>
      </c>
    </row>
    <row r="12" spans="4:14" x14ac:dyDescent="0.2">
      <c r="D12" s="220" t="s">
        <v>39</v>
      </c>
      <c r="E12" s="21">
        <v>0.71</v>
      </c>
      <c r="F12" s="22">
        <v>0.11</v>
      </c>
      <c r="G12" s="21">
        <v>0.52</v>
      </c>
      <c r="H12" s="22">
        <v>0.376</v>
      </c>
      <c r="I12" s="21">
        <v>0.95</v>
      </c>
      <c r="J12" s="22">
        <v>0.375</v>
      </c>
      <c r="K12" s="221">
        <v>4</v>
      </c>
      <c r="L12" s="22">
        <f>K12*$J12</f>
        <v>1.5</v>
      </c>
      <c r="M12" s="21">
        <v>6</v>
      </c>
      <c r="N12" s="22">
        <f t="shared" si="0"/>
        <v>2.25</v>
      </c>
    </row>
    <row r="13" spans="4:14" x14ac:dyDescent="0.2">
      <c r="D13" s="220" t="s">
        <v>40</v>
      </c>
      <c r="E13" s="21">
        <v>1.29</v>
      </c>
      <c r="F13" s="22">
        <v>0.2</v>
      </c>
      <c r="G13" s="21">
        <v>0.99399999999999999</v>
      </c>
      <c r="H13" s="22">
        <v>0.66800000000000004</v>
      </c>
      <c r="I13" s="21">
        <v>1.27</v>
      </c>
      <c r="J13" s="22">
        <v>0.5</v>
      </c>
      <c r="K13" s="221">
        <v>4</v>
      </c>
      <c r="L13" s="22">
        <f>K13*$J13</f>
        <v>2</v>
      </c>
      <c r="M13" s="21">
        <v>6</v>
      </c>
      <c r="N13" s="22">
        <f t="shared" si="0"/>
        <v>3</v>
      </c>
    </row>
    <row r="14" spans="4:14" x14ac:dyDescent="0.2">
      <c r="D14" s="220" t="s">
        <v>41</v>
      </c>
      <c r="E14" s="21">
        <v>2</v>
      </c>
      <c r="F14" s="22">
        <v>0.31</v>
      </c>
      <c r="G14" s="21">
        <v>1.55</v>
      </c>
      <c r="H14" s="22">
        <v>1.0429999999999999</v>
      </c>
      <c r="I14" s="21">
        <v>1.59</v>
      </c>
      <c r="J14" s="22">
        <v>0.625</v>
      </c>
      <c r="K14" s="221">
        <v>4</v>
      </c>
      <c r="L14" s="22">
        <f>K14*$J14</f>
        <v>2.5</v>
      </c>
      <c r="M14" s="21">
        <v>6</v>
      </c>
      <c r="N14" s="22">
        <f t="shared" si="0"/>
        <v>3.75</v>
      </c>
    </row>
    <row r="15" spans="4:14" x14ac:dyDescent="0.2">
      <c r="D15" s="220" t="s">
        <v>42</v>
      </c>
      <c r="E15" s="21">
        <v>2.84</v>
      </c>
      <c r="F15" s="22">
        <v>0.44</v>
      </c>
      <c r="G15" s="21">
        <v>2.2400000000000002</v>
      </c>
      <c r="H15" s="22">
        <v>1.502</v>
      </c>
      <c r="I15" s="21">
        <v>1.91</v>
      </c>
      <c r="J15" s="22">
        <v>0.75</v>
      </c>
      <c r="K15" s="221">
        <v>6</v>
      </c>
      <c r="L15" s="22">
        <f>K15*$J15</f>
        <v>4.5</v>
      </c>
      <c r="M15" s="21">
        <v>6</v>
      </c>
      <c r="N15" s="22">
        <f t="shared" si="0"/>
        <v>4.5</v>
      </c>
    </row>
    <row r="16" spans="4:14" x14ac:dyDescent="0.2">
      <c r="D16" s="220" t="s">
        <v>43</v>
      </c>
      <c r="E16" s="21">
        <v>3.87</v>
      </c>
      <c r="F16" s="22">
        <v>0.6</v>
      </c>
      <c r="G16" s="21">
        <v>3.0409999999999999</v>
      </c>
      <c r="H16" s="22">
        <v>2.044</v>
      </c>
      <c r="I16" s="21">
        <v>2.2200000000000002</v>
      </c>
      <c r="J16" s="22">
        <v>0.875</v>
      </c>
      <c r="K16" s="221"/>
      <c r="L16" s="22"/>
      <c r="M16" s="21">
        <v>6</v>
      </c>
      <c r="N16" s="22">
        <f t="shared" si="0"/>
        <v>5.25</v>
      </c>
    </row>
    <row r="17" spans="3:14" x14ac:dyDescent="0.2">
      <c r="D17" s="220" t="s">
        <v>44</v>
      </c>
      <c r="E17" s="21">
        <v>5.0999999999999996</v>
      </c>
      <c r="F17" s="22">
        <v>0.79</v>
      </c>
      <c r="G17" s="21">
        <v>3.97</v>
      </c>
      <c r="H17" s="22">
        <v>2.67</v>
      </c>
      <c r="I17" s="21">
        <v>2.54</v>
      </c>
      <c r="J17" s="22">
        <v>1</v>
      </c>
      <c r="K17" s="221"/>
      <c r="L17" s="22"/>
      <c r="M17" s="21">
        <v>6</v>
      </c>
      <c r="N17" s="22">
        <f t="shared" si="0"/>
        <v>6</v>
      </c>
    </row>
    <row r="18" spans="3:14" ht="13.5" thickBot="1" x14ac:dyDescent="0.25">
      <c r="D18" s="222" t="s">
        <v>45</v>
      </c>
      <c r="E18" s="23">
        <v>6.45</v>
      </c>
      <c r="F18" s="24">
        <v>1</v>
      </c>
      <c r="G18" s="23">
        <v>5.0599999999999996</v>
      </c>
      <c r="H18" s="24">
        <v>3.4</v>
      </c>
      <c r="I18" s="23">
        <v>2.87</v>
      </c>
      <c r="J18" s="24">
        <v>1.1279999999999999</v>
      </c>
      <c r="K18" s="223"/>
      <c r="L18" s="24"/>
      <c r="M18" s="23">
        <v>8</v>
      </c>
      <c r="N18" s="24">
        <f t="shared" si="0"/>
        <v>9.0239999999999991</v>
      </c>
    </row>
    <row r="23" spans="3:14" ht="13.5" thickBot="1" x14ac:dyDescent="0.25"/>
    <row r="24" spans="3:14" x14ac:dyDescent="0.2">
      <c r="C24" s="17" t="s">
        <v>46</v>
      </c>
      <c r="D24" s="18"/>
      <c r="E24" s="17" t="s">
        <v>26</v>
      </c>
      <c r="F24" s="18"/>
      <c r="G24" s="17" t="s">
        <v>27</v>
      </c>
      <c r="H24" s="18"/>
      <c r="I24" s="17" t="s">
        <v>28</v>
      </c>
      <c r="J24" s="18"/>
    </row>
    <row r="25" spans="3:14" ht="13.5" thickBot="1" x14ac:dyDescent="0.25">
      <c r="C25" s="19" t="s">
        <v>47</v>
      </c>
      <c r="D25" s="20" t="s">
        <v>48</v>
      </c>
      <c r="E25" s="19" t="s">
        <v>29</v>
      </c>
      <c r="F25" s="20" t="s">
        <v>30</v>
      </c>
      <c r="G25" s="19" t="s">
        <v>31</v>
      </c>
      <c r="H25" s="20" t="s">
        <v>32</v>
      </c>
      <c r="I25" s="19" t="s">
        <v>33</v>
      </c>
      <c r="J25" s="20" t="s">
        <v>34</v>
      </c>
    </row>
    <row r="26" spans="3:14" x14ac:dyDescent="0.2">
      <c r="C26" s="25">
        <v>10</v>
      </c>
      <c r="D26" s="26" t="s">
        <v>39</v>
      </c>
      <c r="E26" s="17">
        <v>0.71</v>
      </c>
      <c r="F26" s="18">
        <v>0.11</v>
      </c>
      <c r="G26" s="17">
        <v>0.52</v>
      </c>
      <c r="H26" s="18">
        <v>0.376</v>
      </c>
      <c r="I26" s="17">
        <v>0.95</v>
      </c>
      <c r="J26" s="18">
        <v>0.375</v>
      </c>
    </row>
    <row r="27" spans="3:14" x14ac:dyDescent="0.2">
      <c r="C27" s="27">
        <v>13</v>
      </c>
      <c r="D27" s="28" t="s">
        <v>40</v>
      </c>
      <c r="E27" s="21">
        <v>1.29</v>
      </c>
      <c r="F27" s="22">
        <v>0.2</v>
      </c>
      <c r="G27" s="21">
        <v>0.99399999999999999</v>
      </c>
      <c r="H27" s="22">
        <v>0.66800000000000004</v>
      </c>
      <c r="I27" s="21">
        <v>1.27</v>
      </c>
      <c r="J27" s="22">
        <v>0.5</v>
      </c>
    </row>
    <row r="28" spans="3:14" x14ac:dyDescent="0.2">
      <c r="C28" s="27">
        <v>16</v>
      </c>
      <c r="D28" s="28" t="s">
        <v>41</v>
      </c>
      <c r="E28" s="21">
        <v>2</v>
      </c>
      <c r="F28" s="22">
        <v>0.31</v>
      </c>
      <c r="G28" s="21">
        <v>1.55</v>
      </c>
      <c r="H28" s="22">
        <v>1.0429999999999999</v>
      </c>
      <c r="I28" s="21">
        <v>1.59</v>
      </c>
      <c r="J28" s="22">
        <v>0.625</v>
      </c>
    </row>
    <row r="29" spans="3:14" x14ac:dyDescent="0.2">
      <c r="C29" s="27">
        <v>19</v>
      </c>
      <c r="D29" s="28" t="s">
        <v>42</v>
      </c>
      <c r="E29" s="21">
        <v>2.84</v>
      </c>
      <c r="F29" s="22">
        <v>0.44</v>
      </c>
      <c r="G29" s="21">
        <v>2.2400000000000002</v>
      </c>
      <c r="H29" s="22">
        <v>1.502</v>
      </c>
      <c r="I29" s="21">
        <v>1.91</v>
      </c>
      <c r="J29" s="22">
        <v>0.75</v>
      </c>
    </row>
    <row r="30" spans="3:14" x14ac:dyDescent="0.2">
      <c r="C30" s="27">
        <v>22</v>
      </c>
      <c r="D30" s="28" t="s">
        <v>43</v>
      </c>
      <c r="E30" s="21">
        <v>3.87</v>
      </c>
      <c r="F30" s="22">
        <v>0.6</v>
      </c>
      <c r="G30" s="21">
        <v>3.0409999999999999</v>
      </c>
      <c r="H30" s="22">
        <v>2.044</v>
      </c>
      <c r="I30" s="21">
        <v>2.2200000000000002</v>
      </c>
      <c r="J30" s="22">
        <v>0.875</v>
      </c>
    </row>
    <row r="31" spans="3:14" x14ac:dyDescent="0.2">
      <c r="C31" s="27">
        <v>25</v>
      </c>
      <c r="D31" s="28" t="s">
        <v>44</v>
      </c>
      <c r="E31" s="21">
        <v>5.0999999999999996</v>
      </c>
      <c r="F31" s="22">
        <v>0.79</v>
      </c>
      <c r="G31" s="21">
        <v>3.97</v>
      </c>
      <c r="H31" s="22">
        <v>2.67</v>
      </c>
      <c r="I31" s="21">
        <v>2.54</v>
      </c>
      <c r="J31" s="22">
        <v>1</v>
      </c>
    </row>
    <row r="32" spans="3:14" x14ac:dyDescent="0.2">
      <c r="C32" s="27">
        <v>29</v>
      </c>
      <c r="D32" s="28" t="s">
        <v>45</v>
      </c>
      <c r="E32" s="21">
        <v>6.45</v>
      </c>
      <c r="F32" s="22">
        <v>1</v>
      </c>
      <c r="G32" s="21">
        <v>5.0599999999999996</v>
      </c>
      <c r="H32" s="22">
        <v>3.4</v>
      </c>
      <c r="I32" s="21">
        <v>2.87</v>
      </c>
      <c r="J32" s="22">
        <v>1.1279999999999999</v>
      </c>
    </row>
    <row r="33" spans="3:10" x14ac:dyDescent="0.2">
      <c r="C33" s="27">
        <v>32</v>
      </c>
      <c r="D33" s="28" t="s">
        <v>35</v>
      </c>
      <c r="E33" s="21">
        <v>8.19</v>
      </c>
      <c r="F33" s="22">
        <v>1.27</v>
      </c>
      <c r="G33" s="21">
        <v>6.4</v>
      </c>
      <c r="H33" s="22">
        <v>4.3029999999999999</v>
      </c>
      <c r="I33" s="21">
        <v>3.23</v>
      </c>
      <c r="J33" s="22">
        <v>1.27</v>
      </c>
    </row>
    <row r="34" spans="3:10" x14ac:dyDescent="0.2">
      <c r="C34" s="27">
        <v>36</v>
      </c>
      <c r="D34" s="28" t="s">
        <v>36</v>
      </c>
      <c r="E34" s="21">
        <v>10.06</v>
      </c>
      <c r="F34" s="22">
        <v>1.56</v>
      </c>
      <c r="G34" s="21">
        <v>7.9</v>
      </c>
      <c r="H34" s="22">
        <v>5.3129999999999997</v>
      </c>
      <c r="I34" s="21">
        <v>3.58</v>
      </c>
      <c r="J34" s="22">
        <v>1.41</v>
      </c>
    </row>
    <row r="35" spans="3:10" x14ac:dyDescent="0.2">
      <c r="C35" s="27">
        <v>43</v>
      </c>
      <c r="D35" s="28" t="s">
        <v>37</v>
      </c>
      <c r="E35" s="21">
        <v>14.52</v>
      </c>
      <c r="F35" s="22">
        <v>2.25</v>
      </c>
      <c r="G35" s="21">
        <v>11.4</v>
      </c>
      <c r="H35" s="22">
        <v>7.65</v>
      </c>
      <c r="I35" s="21">
        <v>4.3</v>
      </c>
      <c r="J35" s="22">
        <v>1.6930000000000001</v>
      </c>
    </row>
    <row r="36" spans="3:10" ht="13.5" thickBot="1" x14ac:dyDescent="0.25">
      <c r="C36" s="19">
        <v>57</v>
      </c>
      <c r="D36" s="20" t="s">
        <v>38</v>
      </c>
      <c r="E36" s="23">
        <v>25.81</v>
      </c>
      <c r="F36" s="24">
        <v>4</v>
      </c>
      <c r="G36" s="23">
        <v>20.2</v>
      </c>
      <c r="H36" s="24">
        <v>13.6</v>
      </c>
      <c r="I36" s="23">
        <v>5.73</v>
      </c>
      <c r="J36" s="24">
        <v>2.2570000000000001</v>
      </c>
    </row>
    <row r="38" spans="3:10" ht="13.5" thickBot="1" x14ac:dyDescent="0.25"/>
    <row r="39" spans="3:10" x14ac:dyDescent="0.2">
      <c r="C39" s="17" t="s">
        <v>49</v>
      </c>
      <c r="D39" s="18"/>
      <c r="E39" t="s">
        <v>50</v>
      </c>
    </row>
    <row r="40" spans="3:10" ht="13.5" thickBot="1" x14ac:dyDescent="0.25">
      <c r="C40" s="19" t="s">
        <v>51</v>
      </c>
      <c r="D40" s="20" t="s">
        <v>52</v>
      </c>
      <c r="E40" t="s">
        <v>53</v>
      </c>
    </row>
    <row r="41" spans="3:10" x14ac:dyDescent="0.2">
      <c r="C41" s="29">
        <v>300</v>
      </c>
      <c r="D41" s="30">
        <v>40</v>
      </c>
    </row>
    <row r="42" spans="3:10" x14ac:dyDescent="0.2">
      <c r="C42" s="31">
        <v>420</v>
      </c>
      <c r="D42" s="32">
        <v>60</v>
      </c>
    </row>
    <row r="43" spans="3:10" ht="13.5" thickBot="1" x14ac:dyDescent="0.25">
      <c r="C43" s="19">
        <v>520</v>
      </c>
      <c r="D43" s="20">
        <v>75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>
    <tabColor theme="5"/>
  </sheetPr>
  <dimension ref="B1:R62"/>
  <sheetViews>
    <sheetView tabSelected="1" zoomScaleNormal="100" workbookViewId="0">
      <selection activeCell="E38" sqref="E38"/>
    </sheetView>
  </sheetViews>
  <sheetFormatPr defaultRowHeight="12.75" x14ac:dyDescent="0.2"/>
  <cols>
    <col min="2" max="2" width="9.42578125" bestFit="1" customWidth="1"/>
    <col min="3" max="3" width="9.7109375" bestFit="1" customWidth="1"/>
    <col min="4" max="4" width="12" bestFit="1" customWidth="1"/>
    <col min="5" max="6" width="11" bestFit="1" customWidth="1"/>
    <col min="7" max="7" width="11.5703125" bestFit="1" customWidth="1"/>
    <col min="8" max="8" width="10.42578125" bestFit="1" customWidth="1"/>
    <col min="11" max="12" width="0" hidden="1" customWidth="1"/>
    <col min="13" max="13" width="9.28515625" hidden="1" customWidth="1"/>
    <col min="14" max="16" width="0" hidden="1" customWidth="1"/>
    <col min="17" max="17" width="9.28515625" hidden="1" customWidth="1"/>
    <col min="18" max="18" width="0" hidden="1" customWidth="1"/>
  </cols>
  <sheetData>
    <row r="1" spans="2:18" x14ac:dyDescent="0.2">
      <c r="F1" s="704" t="s">
        <v>616</v>
      </c>
    </row>
    <row r="2" spans="2:18" ht="13.5" thickBot="1" x14ac:dyDescent="0.25"/>
    <row r="3" spans="2:18" x14ac:dyDescent="0.2">
      <c r="B3" s="521"/>
      <c r="C3" s="511" t="s">
        <v>23</v>
      </c>
      <c r="D3" s="614" t="s">
        <v>152</v>
      </c>
      <c r="E3" s="131"/>
      <c r="F3" s="131"/>
      <c r="G3" s="132"/>
    </row>
    <row r="4" spans="2:18" x14ac:dyDescent="0.2">
      <c r="B4" s="134"/>
      <c r="C4" s="136" t="s">
        <v>18</v>
      </c>
      <c r="D4" s="615">
        <v>10</v>
      </c>
      <c r="E4" s="135" t="s">
        <v>89</v>
      </c>
      <c r="F4" s="135"/>
      <c r="G4" s="137"/>
    </row>
    <row r="5" spans="2:18" x14ac:dyDescent="0.2">
      <c r="B5" s="134"/>
      <c r="C5" s="135" t="s">
        <v>63</v>
      </c>
      <c r="D5" s="619">
        <v>4</v>
      </c>
      <c r="E5" s="536" t="s">
        <v>480</v>
      </c>
      <c r="F5" s="135"/>
      <c r="G5" s="137"/>
    </row>
    <row r="6" spans="2:18" ht="13.5" thickBot="1" x14ac:dyDescent="0.25">
      <c r="B6" s="155"/>
      <c r="C6" s="156" t="s">
        <v>73</v>
      </c>
      <c r="D6" s="616" t="s">
        <v>68</v>
      </c>
      <c r="E6" s="156"/>
      <c r="F6" s="156"/>
      <c r="G6" s="510"/>
    </row>
    <row r="7" spans="2:18" ht="13.5" thickBot="1" x14ac:dyDescent="0.25"/>
    <row r="8" spans="2:18" ht="13.5" thickBot="1" x14ac:dyDescent="0.25">
      <c r="B8" s="72" t="s">
        <v>643</v>
      </c>
      <c r="C8" s="5"/>
      <c r="M8" s="279" t="str">
        <f>'English LRFD'!I8</f>
        <v>Top Transverse Lookups</v>
      </c>
      <c r="N8" s="103"/>
      <c r="O8" s="103"/>
      <c r="P8" s="280"/>
    </row>
    <row r="9" spans="2:18" x14ac:dyDescent="0.2">
      <c r="B9" s="521"/>
      <c r="C9" s="532" t="s">
        <v>557</v>
      </c>
      <c r="D9" s="523">
        <f>'English LRFD'!D13</f>
        <v>8.25</v>
      </c>
      <c r="E9" s="535" t="s">
        <v>204</v>
      </c>
      <c r="M9" s="476">
        <f>'English LRFD'!I9</f>
        <v>6.5</v>
      </c>
      <c r="N9" s="38" t="str">
        <f>'English LRFD'!J9</f>
        <v>(Normal Traffic Controlled *)</v>
      </c>
      <c r="O9" s="38"/>
      <c r="P9" s="477"/>
    </row>
    <row r="10" spans="2:18" ht="13.5" thickBot="1" x14ac:dyDescent="0.25">
      <c r="B10" s="155"/>
      <c r="C10" s="533" t="s">
        <v>479</v>
      </c>
      <c r="D10" s="527">
        <f>'English LRFD'!D14</f>
        <v>9.75</v>
      </c>
      <c r="E10" s="519" t="s">
        <v>204</v>
      </c>
      <c r="M10" s="476">
        <f>'English LRFD'!I10</f>
        <v>6.5</v>
      </c>
      <c r="N10" s="38" t="str">
        <f>'English LRFD'!J10</f>
        <v>(Rail Impact Controlled *)</v>
      </c>
      <c r="O10" s="38"/>
      <c r="P10" s="477"/>
    </row>
    <row r="11" spans="2:18" x14ac:dyDescent="0.2">
      <c r="B11" s="530" t="s">
        <v>19</v>
      </c>
      <c r="C11" s="131"/>
      <c r="D11" s="520" t="s">
        <v>17</v>
      </c>
      <c r="E11" s="520" t="s">
        <v>18</v>
      </c>
      <c r="F11" s="535"/>
      <c r="M11" s="628">
        <f>'English LRFD'!I11</f>
        <v>1</v>
      </c>
      <c r="N11" s="282"/>
      <c r="O11" s="282"/>
      <c r="P11" s="283"/>
    </row>
    <row r="12" spans="2:18" x14ac:dyDescent="0.2">
      <c r="B12" s="134"/>
      <c r="C12" s="136" t="s">
        <v>363</v>
      </c>
      <c r="D12" s="531" t="str">
        <f>'English LRFD'!D16</f>
        <v># 5</v>
      </c>
      <c r="E12" s="525">
        <f>'English LRFD'!E16</f>
        <v>6.5</v>
      </c>
      <c r="F12" s="508" t="s">
        <v>204</v>
      </c>
      <c r="G12" s="562" t="str">
        <f>'English LRFD'!F16</f>
        <v>(Normal Traffic Controlled *)</v>
      </c>
      <c r="K12" s="279"/>
      <c r="L12" s="103"/>
      <c r="M12" s="103"/>
      <c r="N12" s="103"/>
      <c r="O12" s="103"/>
      <c r="P12" s="622" t="s">
        <v>549</v>
      </c>
      <c r="Q12" s="103">
        <f>'English LRFD'!P82</f>
        <v>2.5</v>
      </c>
      <c r="R12" s="280" t="s">
        <v>89</v>
      </c>
    </row>
    <row r="13" spans="2:18" ht="13.5" thickBot="1" x14ac:dyDescent="0.25">
      <c r="B13" s="155"/>
      <c r="C13" s="515" t="s">
        <v>336</v>
      </c>
      <c r="D13" s="528" t="str">
        <f>'English LRFD'!D17</f>
        <v># 5</v>
      </c>
      <c r="E13" s="527">
        <f>'English LRFD'!E17</f>
        <v>7.25</v>
      </c>
      <c r="F13" s="519" t="s">
        <v>204</v>
      </c>
      <c r="K13" s="476"/>
      <c r="L13" s="38"/>
      <c r="M13" s="38"/>
      <c r="N13" s="38"/>
      <c r="O13" s="38"/>
      <c r="P13" s="293" t="s">
        <v>552</v>
      </c>
      <c r="Q13" s="63">
        <f>'English LRFD'!S111</f>
        <v>4</v>
      </c>
      <c r="R13" s="477" t="s">
        <v>89</v>
      </c>
    </row>
    <row r="14" spans="2:18" x14ac:dyDescent="0.2">
      <c r="B14" s="130" t="s">
        <v>342</v>
      </c>
      <c r="C14" s="131"/>
      <c r="D14" s="520" t="s">
        <v>364</v>
      </c>
      <c r="E14" s="520" t="s">
        <v>17</v>
      </c>
      <c r="F14" s="520"/>
      <c r="G14" s="520" t="s">
        <v>18</v>
      </c>
      <c r="H14" s="132"/>
      <c r="K14" s="281"/>
      <c r="L14" s="282"/>
      <c r="M14" s="282"/>
      <c r="N14" s="282"/>
      <c r="O14" s="282"/>
      <c r="P14" s="623" t="s">
        <v>553</v>
      </c>
      <c r="Q14" s="624">
        <f>'English LRFD'!S113</f>
        <v>4</v>
      </c>
      <c r="R14" s="283" t="s">
        <v>89</v>
      </c>
    </row>
    <row r="15" spans="2:18" ht="13.5" thickBot="1" x14ac:dyDescent="0.25">
      <c r="B15" s="155"/>
      <c r="C15" s="546" t="s">
        <v>490</v>
      </c>
      <c r="D15" s="528">
        <f>'English LRFD'!D19</f>
        <v>14</v>
      </c>
      <c r="E15" s="528" t="str">
        <f>'English LRFD'!E19</f>
        <v># 4</v>
      </c>
      <c r="F15" s="529" t="s">
        <v>398</v>
      </c>
      <c r="G15" s="527">
        <f>'English LRFD'!G19</f>
        <v>7.1875</v>
      </c>
      <c r="H15" s="519" t="s">
        <v>204</v>
      </c>
    </row>
    <row r="16" spans="2:18" ht="13.5" thickBot="1" x14ac:dyDescent="0.25"/>
    <row r="17" spans="2:8" x14ac:dyDescent="0.2">
      <c r="B17" s="521"/>
      <c r="C17" s="131"/>
      <c r="D17" s="131"/>
      <c r="E17" s="522" t="s">
        <v>454</v>
      </c>
      <c r="F17" s="523">
        <f>'English LRFD'!F2</f>
        <v>2.5</v>
      </c>
      <c r="G17" s="524" t="s">
        <v>204</v>
      </c>
    </row>
    <row r="18" spans="2:8" x14ac:dyDescent="0.2">
      <c r="B18" s="134"/>
      <c r="C18" s="135"/>
      <c r="D18" s="135"/>
      <c r="E18" s="142" t="s">
        <v>455</v>
      </c>
      <c r="F18" s="525">
        <f>'English LRFD'!F3</f>
        <v>0.5</v>
      </c>
      <c r="G18" s="143" t="s">
        <v>204</v>
      </c>
    </row>
    <row r="19" spans="2:8" ht="13.5" thickBot="1" x14ac:dyDescent="0.25">
      <c r="B19" s="155"/>
      <c r="C19" s="156"/>
      <c r="D19" s="156"/>
      <c r="E19" s="526" t="s">
        <v>453</v>
      </c>
      <c r="F19" s="527">
        <f>'English LRFD'!F4</f>
        <v>1</v>
      </c>
      <c r="G19" s="157" t="s">
        <v>204</v>
      </c>
    </row>
    <row r="20" spans="2:8" ht="16.5" thickBot="1" x14ac:dyDescent="0.35">
      <c r="B20" s="534" t="s">
        <v>477</v>
      </c>
      <c r="C20" s="302">
        <f>'English LRFD'!C5</f>
        <v>60</v>
      </c>
      <c r="D20" s="452" t="s">
        <v>52</v>
      </c>
      <c r="E20" s="504" t="s">
        <v>478</v>
      </c>
      <c r="F20" s="302">
        <f>'English LRFD'!F5</f>
        <v>4</v>
      </c>
      <c r="G20" s="13" t="s">
        <v>52</v>
      </c>
    </row>
    <row r="21" spans="2:8" ht="13.5" thickBot="1" x14ac:dyDescent="0.25"/>
    <row r="22" spans="2:8" x14ac:dyDescent="0.2">
      <c r="B22" s="627" t="s">
        <v>10</v>
      </c>
      <c r="C22" s="4"/>
      <c r="D22" s="4"/>
      <c r="E22" s="4"/>
      <c r="F22" s="4"/>
      <c r="G22" s="4"/>
      <c r="H22" s="5"/>
    </row>
    <row r="23" spans="2:8" x14ac:dyDescent="0.2">
      <c r="B23" s="620" t="str">
        <f>'English LRFD'!J11</f>
        <v>* No adjustment to Top Transverse Steel was needed for Rail Impact Loading.</v>
      </c>
      <c r="C23" s="38"/>
      <c r="D23" s="38"/>
      <c r="E23" s="38"/>
      <c r="F23" s="38"/>
      <c r="G23" s="38"/>
      <c r="H23" s="7"/>
    </row>
    <row r="24" spans="2:8" x14ac:dyDescent="0.2">
      <c r="B24" s="620" t="str">
        <f>IF(D5&gt;Q13,"** Overhang exceeds design parameter for Normal Traffic Loading of "&amp;TEXT(Q13,"0.0##")&amp;" Ft.","Overhang meets criteria for Normal Traffic and Rail Impact")</f>
        <v>Overhang meets criteria for Normal Traffic and Rail Impact</v>
      </c>
      <c r="C24" s="38"/>
      <c r="D24" s="38"/>
      <c r="E24" s="38"/>
      <c r="F24" s="38"/>
      <c r="G24" s="38"/>
      <c r="H24" s="7"/>
    </row>
    <row r="25" spans="2:8" ht="13.5" thickBot="1" x14ac:dyDescent="0.25">
      <c r="B25" s="621" t="str">
        <f>IF(AND(D5&gt;Q13,D5&lt;=Q14),"** Overhang design controlled by Rail Impact.  Normal Traffic Loading acceptable for "&amp;TEXT(Q14,"0.0##")&amp;" Ft. overhang.",IF(D5&gt;Q14,"** Normal Traffic Loading may exceed overhang design.  Redesign recommended.",""))</f>
        <v/>
      </c>
      <c r="C25" s="36"/>
      <c r="D25" s="36"/>
      <c r="E25" s="36"/>
      <c r="F25" s="36"/>
      <c r="G25" s="36"/>
      <c r="H25" s="13"/>
    </row>
    <row r="26" spans="2:8" x14ac:dyDescent="0.2">
      <c r="G26" s="626" t="str">
        <f>'LRFD Deck Charts'!S57</f>
        <v>Version 1 Released</v>
      </c>
      <c r="H26" s="563">
        <f>'LRFD Deck Charts'!T57</f>
        <v>42164</v>
      </c>
    </row>
    <row r="27" spans="2:8" x14ac:dyDescent="0.2">
      <c r="B27" s="561" t="s">
        <v>411</v>
      </c>
    </row>
    <row r="28" spans="2:8" x14ac:dyDescent="0.2">
      <c r="B28" s="561" t="s">
        <v>412</v>
      </c>
    </row>
    <row r="29" spans="2:8" x14ac:dyDescent="0.2">
      <c r="B29" s="561" t="s">
        <v>413</v>
      </c>
    </row>
    <row r="30" spans="2:8" x14ac:dyDescent="0.2">
      <c r="B30" s="561" t="s">
        <v>601</v>
      </c>
    </row>
    <row r="31" spans="2:8" x14ac:dyDescent="0.2">
      <c r="B31" s="561" t="s">
        <v>556</v>
      </c>
    </row>
    <row r="32" spans="2:8" x14ac:dyDescent="0.2">
      <c r="B32" s="685" t="s">
        <v>595</v>
      </c>
    </row>
    <row r="33" spans="2:8" x14ac:dyDescent="0.2">
      <c r="B33" s="685" t="s">
        <v>596</v>
      </c>
    </row>
    <row r="34" spans="2:8" x14ac:dyDescent="0.2">
      <c r="B34" s="685" t="s">
        <v>642</v>
      </c>
    </row>
    <row r="35" spans="2:8" ht="13.5" thickBot="1" x14ac:dyDescent="0.25"/>
    <row r="36" spans="2:8" ht="13.5" thickBot="1" x14ac:dyDescent="0.25">
      <c r="B36" s="39"/>
      <c r="C36" s="76"/>
      <c r="D36" s="503" t="s">
        <v>475</v>
      </c>
      <c r="E36" s="76"/>
      <c r="F36" s="76"/>
      <c r="G36" s="76"/>
      <c r="H36" s="40"/>
    </row>
    <row r="37" spans="2:8" x14ac:dyDescent="0.2">
      <c r="B37" s="130" t="s">
        <v>476</v>
      </c>
      <c r="C37" s="131"/>
      <c r="D37" s="131"/>
      <c r="E37" s="131"/>
      <c r="F37" s="131"/>
      <c r="G37" s="505"/>
      <c r="H37" s="132"/>
    </row>
    <row r="38" spans="2:8" x14ac:dyDescent="0.2">
      <c r="B38" s="134"/>
      <c r="C38" s="135"/>
      <c r="D38" s="539" t="s">
        <v>487</v>
      </c>
      <c r="E38" s="615">
        <v>3</v>
      </c>
      <c r="F38" s="539" t="s">
        <v>56</v>
      </c>
      <c r="G38" s="514">
        <f>'English LRFD'!G24</f>
        <v>95379.830273283806</v>
      </c>
      <c r="H38" s="137" t="s">
        <v>148</v>
      </c>
    </row>
    <row r="39" spans="2:8" ht="15" thickBot="1" x14ac:dyDescent="0.25">
      <c r="B39" s="134"/>
      <c r="C39" s="506"/>
      <c r="D39" s="540" t="s">
        <v>493</v>
      </c>
      <c r="E39" s="615">
        <v>450</v>
      </c>
      <c r="F39" s="540" t="s">
        <v>55</v>
      </c>
      <c r="G39" s="507">
        <f>'English LRFD'!G23</f>
        <v>527.68982326388891</v>
      </c>
      <c r="H39" s="508" t="s">
        <v>416</v>
      </c>
    </row>
    <row r="40" spans="2:8" x14ac:dyDescent="0.2">
      <c r="B40" s="130" t="s">
        <v>140</v>
      </c>
      <c r="C40" s="131"/>
      <c r="D40" s="131"/>
      <c r="E40" s="131"/>
      <c r="F40" s="511" t="s">
        <v>142</v>
      </c>
      <c r="G40" s="131"/>
      <c r="H40" s="132"/>
    </row>
    <row r="41" spans="2:8" ht="13.5" thickBot="1" x14ac:dyDescent="0.25">
      <c r="B41" s="155"/>
      <c r="C41" s="156"/>
      <c r="D41" s="509">
        <f>'English LRFD'!D26</f>
        <v>484.995</v>
      </c>
      <c r="E41" s="156" t="s">
        <v>141</v>
      </c>
      <c r="F41" s="616">
        <v>2</v>
      </c>
      <c r="G41" s="509">
        <f>'English LRFD'!G26</f>
        <v>969.99</v>
      </c>
      <c r="H41" s="510" t="s">
        <v>148</v>
      </c>
    </row>
    <row r="42" spans="2:8" x14ac:dyDescent="0.2">
      <c r="B42" s="512" t="s">
        <v>136</v>
      </c>
      <c r="C42" s="131"/>
      <c r="D42" s="511" t="s">
        <v>138</v>
      </c>
      <c r="E42" s="614">
        <v>30</v>
      </c>
      <c r="F42" s="131"/>
      <c r="G42" s="131"/>
      <c r="H42" s="132"/>
    </row>
    <row r="43" spans="2:8" x14ac:dyDescent="0.2">
      <c r="B43" s="134"/>
      <c r="C43" s="135"/>
      <c r="D43" s="135"/>
      <c r="E43" s="135"/>
      <c r="F43" s="513" t="s">
        <v>137</v>
      </c>
      <c r="G43" s="135"/>
      <c r="H43" s="137"/>
    </row>
    <row r="44" spans="2:8" x14ac:dyDescent="0.2">
      <c r="B44" s="134"/>
      <c r="C44" s="136" t="s">
        <v>56</v>
      </c>
      <c r="D44" s="514">
        <f>'English LRFD'!D29</f>
        <v>250.02486428868974</v>
      </c>
      <c r="E44" s="135" t="s">
        <v>149</v>
      </c>
      <c r="F44" s="615">
        <v>2</v>
      </c>
      <c r="G44" s="514">
        <f>'English LRFD'!G29</f>
        <v>500.04972857737948</v>
      </c>
      <c r="H44" s="137" t="s">
        <v>148</v>
      </c>
    </row>
    <row r="45" spans="2:8" ht="15" thickBot="1" x14ac:dyDescent="0.25">
      <c r="B45" s="155"/>
      <c r="C45" s="515" t="s">
        <v>55</v>
      </c>
      <c r="D45" s="516">
        <f>'English LRFD'!D30</f>
        <v>0.18443133599113043</v>
      </c>
      <c r="E45" s="517" t="s">
        <v>474</v>
      </c>
      <c r="F45" s="156"/>
      <c r="G45" s="518">
        <f>'English LRFD'!G30</f>
        <v>0.36886267198226086</v>
      </c>
      <c r="H45" s="519" t="s">
        <v>416</v>
      </c>
    </row>
    <row r="46" spans="2:8" x14ac:dyDescent="0.2">
      <c r="B46" s="512" t="s">
        <v>135</v>
      </c>
      <c r="C46" s="131"/>
      <c r="D46" s="131"/>
      <c r="E46" s="131"/>
      <c r="F46" s="520" t="s">
        <v>137</v>
      </c>
      <c r="G46" s="131"/>
      <c r="H46" s="132"/>
    </row>
    <row r="47" spans="2:8" x14ac:dyDescent="0.2">
      <c r="B47" s="134"/>
      <c r="C47" s="136" t="s">
        <v>56</v>
      </c>
      <c r="D47" s="514">
        <f>'English LRFD'!D32</f>
        <v>114.51600000000001</v>
      </c>
      <c r="E47" s="135" t="s">
        <v>149</v>
      </c>
      <c r="F47" s="615">
        <v>2</v>
      </c>
      <c r="G47" s="514">
        <f>'English LRFD'!G32</f>
        <v>229.03200000000001</v>
      </c>
      <c r="H47" s="137" t="s">
        <v>148</v>
      </c>
    </row>
    <row r="48" spans="2:8" ht="15" thickBot="1" x14ac:dyDescent="0.25">
      <c r="B48" s="155"/>
      <c r="C48" s="547" t="s">
        <v>55</v>
      </c>
      <c r="D48" s="548">
        <f>'English LRFD'!D33</f>
        <v>0.18055555555555555</v>
      </c>
      <c r="E48" s="549" t="s">
        <v>474</v>
      </c>
      <c r="F48" s="550"/>
      <c r="G48" s="551">
        <f>'English LRFD'!G33</f>
        <v>0.3611111111111111</v>
      </c>
      <c r="H48" s="519" t="s">
        <v>416</v>
      </c>
    </row>
    <row r="49" spans="2:7" x14ac:dyDescent="0.2">
      <c r="C49" s="521"/>
      <c r="D49" s="131"/>
      <c r="E49" s="131"/>
      <c r="F49" s="553" t="s">
        <v>491</v>
      </c>
      <c r="G49" s="554" t="s">
        <v>492</v>
      </c>
    </row>
    <row r="50" spans="2:7" ht="14.25" x14ac:dyDescent="0.2">
      <c r="C50" s="543" t="s">
        <v>55</v>
      </c>
      <c r="D50" s="555">
        <f>'English LRFD'!F34</f>
        <v>528.41979704698224</v>
      </c>
      <c r="E50" s="536" t="s">
        <v>416</v>
      </c>
      <c r="F50" s="617">
        <v>700</v>
      </c>
      <c r="G50" s="556">
        <f>F50*D50</f>
        <v>369893.85793288756</v>
      </c>
    </row>
    <row r="51" spans="2:7" x14ac:dyDescent="0.2">
      <c r="C51" s="543" t="s">
        <v>56</v>
      </c>
      <c r="D51" s="544">
        <f>'English LRFD'!F35</f>
        <v>97078.902001861192</v>
      </c>
      <c r="E51" s="536" t="s">
        <v>148</v>
      </c>
      <c r="F51" s="617">
        <v>1.5</v>
      </c>
      <c r="G51" s="556">
        <f t="shared" ref="G51:G52" si="0">F51*D51</f>
        <v>145618.35300279179</v>
      </c>
    </row>
    <row r="52" spans="2:7" ht="13.5" thickBot="1" x14ac:dyDescent="0.25">
      <c r="B52" s="456"/>
      <c r="C52" s="545" t="str">
        <f>'English LRFD'!E36</f>
        <v>MTS-54</v>
      </c>
      <c r="D52" s="560">
        <f>'English LRFD'!F36</f>
        <v>1788</v>
      </c>
      <c r="E52" s="517" t="s">
        <v>489</v>
      </c>
      <c r="F52" s="618">
        <v>200</v>
      </c>
      <c r="G52" s="557">
        <f t="shared" si="0"/>
        <v>357600</v>
      </c>
    </row>
    <row r="53" spans="2:7" ht="13.5" thickBot="1" x14ac:dyDescent="0.25">
      <c r="G53" s="552">
        <f>SUM(G50:G52)</f>
        <v>873112.21093567938</v>
      </c>
    </row>
    <row r="60" spans="2:7" x14ac:dyDescent="0.2">
      <c r="D60" s="456"/>
    </row>
    <row r="62" spans="2:7" x14ac:dyDescent="0.2">
      <c r="D62" s="456"/>
    </row>
  </sheetData>
  <sheetProtection password="87D3" sheet="1" objects="1" scenarios="1" selectLockedCells="1"/>
  <conditionalFormatting sqref="E12">
    <cfRule type="cellIs" dxfId="15" priority="5" operator="equal">
      <formula>VLOOKUP(D12,$U$76:$V$78,2,FALSE)</formula>
    </cfRule>
  </conditionalFormatting>
  <conditionalFormatting sqref="D5">
    <cfRule type="cellIs" dxfId="14" priority="10" operator="greaterThan">
      <formula>$Q$14</formula>
    </cfRule>
    <cfRule type="cellIs" dxfId="13" priority="11" operator="greaterThan">
      <formula>$Q$13</formula>
    </cfRule>
  </conditionalFormatting>
  <dataValidations count="4">
    <dataValidation type="list" showInputMessage="1" showErrorMessage="1" promptTitle="Rail Type" prompt="SL-5  Barrier_x000a_SL-6  T-101_x000a_SL-7  Box Rail" sqref="D6">
      <formula1>RailTypes</formula1>
    </dataValidation>
    <dataValidation type="list" showInputMessage="1" showErrorMessage="1" promptTitle="Beam Type" prompt="MT-28_x000a_A_x000a_IV_x000a_M72_x000a_MTS-36_x000a_MTS-45_x000a_MTS-54_x000a_MTS-72_x000a_Steel" sqref="D3">
      <formula1>Beam_List</formula1>
    </dataValidation>
    <dataValidation type="decimal" showInputMessage="1" showErrorMessage="1" errorTitle="Beam Spacing Out of Range" error="Minimum 4 ft_x000a_Maximum 15 ft" promptTitle="Beam Spacing" prompt="Beam Spacing, Ft._x000a_Minimum 3 Beams._x000a_Minimum of 14.0 Ft. between CL of Exterior Beams." sqref="D4">
      <formula1>4</formula1>
      <formula2>15</formula2>
    </dataValidation>
    <dataValidation type="decimal" showInputMessage="1" showErrorMessage="1" promptTitle="Overhang" prompt="CL Ext Bm to Face of Rail, Ft." sqref="D5">
      <formula1>0</formula1>
      <formula2>6</formula2>
    </dataValidation>
  </dataValidations>
  <printOptions horizontalCentered="1"/>
  <pageMargins left="0.7" right="0.7" top="0.75" bottom="0.75" header="0.3" footer="0.3"/>
  <pageSetup orientation="portrait" r:id="rId1"/>
  <headerFooter>
    <oddHeader>&amp;L&amp;14MDT&amp;C&amp;14LRFD Bridge Deck Design&amp;R&amp;14Bridge Bureau</oddHeader>
    <oddFooter>&amp;L&amp;F&amp;C&amp;P&amp;R&amp;D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1">
    <tabColor theme="5"/>
    <pageSetUpPr fitToPage="1"/>
  </sheetPr>
  <dimension ref="C1:AJ62"/>
  <sheetViews>
    <sheetView zoomScale="90" zoomScaleNormal="90" workbookViewId="0">
      <selection activeCell="J7" sqref="J7"/>
    </sheetView>
  </sheetViews>
  <sheetFormatPr defaultRowHeight="12.75" x14ac:dyDescent="0.2"/>
  <cols>
    <col min="3" max="13" width="9.42578125" bestFit="1" customWidth="1"/>
    <col min="14" max="14" width="9.28515625" bestFit="1" customWidth="1"/>
    <col min="19" max="19" width="9.140625" customWidth="1"/>
    <col min="23" max="23" width="11.85546875" bestFit="1" customWidth="1"/>
    <col min="24" max="24" width="9.42578125" bestFit="1" customWidth="1"/>
    <col min="25" max="35" width="9.42578125" customWidth="1"/>
    <col min="36" max="36" width="9.85546875" bestFit="1" customWidth="1"/>
  </cols>
  <sheetData>
    <row r="1" spans="3:36" x14ac:dyDescent="0.2">
      <c r="F1" t="s">
        <v>616</v>
      </c>
    </row>
    <row r="3" spans="3:36" ht="13.5" thickBot="1" x14ac:dyDescent="0.25"/>
    <row r="4" spans="3:36" ht="15" x14ac:dyDescent="0.25">
      <c r="C4" s="3"/>
      <c r="D4" s="4"/>
      <c r="E4" s="4"/>
      <c r="F4" s="446" t="s">
        <v>454</v>
      </c>
      <c r="G4" s="443">
        <f>'English LRFD'!P2</f>
        <v>2.5</v>
      </c>
      <c r="H4" s="444" t="s">
        <v>204</v>
      </c>
      <c r="K4" s="429"/>
      <c r="L4" s="625" t="s">
        <v>638</v>
      </c>
      <c r="M4" s="429"/>
      <c r="P4" t="s">
        <v>411</v>
      </c>
      <c r="AD4" s="625" t="s">
        <v>481</v>
      </c>
    </row>
    <row r="5" spans="3:36" ht="15" x14ac:dyDescent="0.25">
      <c r="C5" s="37"/>
      <c r="D5" s="38"/>
      <c r="E5" s="38"/>
      <c r="F5" s="447" t="s">
        <v>455</v>
      </c>
      <c r="G5" s="442">
        <f>'English LRFD'!P3</f>
        <v>0.5</v>
      </c>
      <c r="H5" s="445" t="s">
        <v>204</v>
      </c>
      <c r="L5" s="625" t="s">
        <v>555</v>
      </c>
      <c r="P5" t="s">
        <v>412</v>
      </c>
      <c r="AD5" s="625" t="s">
        <v>482</v>
      </c>
    </row>
    <row r="6" spans="3:36" ht="13.5" thickBot="1" x14ac:dyDescent="0.25">
      <c r="C6" s="35"/>
      <c r="D6" s="36"/>
      <c r="E6" s="36"/>
      <c r="F6" s="448" t="s">
        <v>453</v>
      </c>
      <c r="G6" s="450">
        <f>'English LRFD'!P4</f>
        <v>1</v>
      </c>
      <c r="H6" s="451" t="s">
        <v>204</v>
      </c>
      <c r="P6" t="s">
        <v>413</v>
      </c>
    </row>
    <row r="7" spans="3:36" ht="16.5" thickBot="1" x14ac:dyDescent="0.35">
      <c r="C7" s="534" t="s">
        <v>485</v>
      </c>
      <c r="D7" s="302">
        <f>'English LRFD'!M5</f>
        <v>60</v>
      </c>
      <c r="E7" s="452" t="s">
        <v>52</v>
      </c>
      <c r="F7" s="504" t="s">
        <v>486</v>
      </c>
      <c r="G7" s="302">
        <f>'English LRFD'!P5</f>
        <v>4</v>
      </c>
      <c r="H7" s="13" t="s">
        <v>52</v>
      </c>
      <c r="Y7" s="537" t="s">
        <v>466</v>
      </c>
      <c r="Z7" s="76"/>
      <c r="AA7" s="76"/>
      <c r="AB7" s="76"/>
      <c r="AC7" s="76"/>
      <c r="AD7" s="40"/>
      <c r="AE7" s="537" t="s">
        <v>467</v>
      </c>
      <c r="AF7" s="76"/>
      <c r="AG7" s="76"/>
      <c r="AH7" s="76"/>
      <c r="AI7" s="76"/>
      <c r="AJ7" s="40"/>
    </row>
    <row r="8" spans="3:36" ht="13.5" thickBot="1" x14ac:dyDescent="0.25">
      <c r="C8" s="228"/>
      <c r="D8" s="228"/>
      <c r="E8" s="228"/>
      <c r="F8" s="228"/>
      <c r="G8" s="228"/>
      <c r="H8" s="228"/>
      <c r="I8" s="228"/>
      <c r="J8" s="228"/>
      <c r="K8" s="229"/>
      <c r="L8" s="228"/>
      <c r="M8" s="228"/>
      <c r="N8" s="228"/>
      <c r="O8" s="228"/>
      <c r="P8" s="228"/>
      <c r="Q8" s="228"/>
      <c r="R8" s="228"/>
      <c r="S8" s="228"/>
      <c r="W8" s="431"/>
      <c r="X8" s="389" t="s">
        <v>363</v>
      </c>
      <c r="Y8" s="391" t="s">
        <v>394</v>
      </c>
      <c r="Z8" s="299"/>
      <c r="AA8" s="299"/>
      <c r="AB8" s="299"/>
      <c r="AC8" s="299"/>
      <c r="AD8" s="300"/>
      <c r="AE8" s="391" t="s">
        <v>394</v>
      </c>
      <c r="AF8" s="299"/>
      <c r="AG8" s="299"/>
      <c r="AH8" s="299"/>
      <c r="AI8" s="299"/>
      <c r="AJ8" s="300"/>
    </row>
    <row r="9" spans="3:36" x14ac:dyDescent="0.2">
      <c r="C9" s="431" t="s">
        <v>362</v>
      </c>
      <c r="D9" s="14"/>
      <c r="E9" s="242" t="s">
        <v>393</v>
      </c>
      <c r="F9" s="251" t="s">
        <v>393</v>
      </c>
      <c r="G9" s="389" t="s">
        <v>363</v>
      </c>
      <c r="H9" s="391" t="s">
        <v>471</v>
      </c>
      <c r="I9" s="299"/>
      <c r="J9" s="299"/>
      <c r="K9" s="299"/>
      <c r="L9" s="299"/>
      <c r="M9" s="300"/>
      <c r="N9" s="298" t="s">
        <v>342</v>
      </c>
      <c r="O9" s="299"/>
      <c r="P9" s="299"/>
      <c r="Q9" s="481" t="s">
        <v>360</v>
      </c>
      <c r="R9" s="299"/>
      <c r="S9" s="299"/>
      <c r="T9" s="300"/>
      <c r="W9" s="265" t="s">
        <v>468</v>
      </c>
      <c r="X9" s="322" t="s">
        <v>359</v>
      </c>
      <c r="Y9" s="723" t="s">
        <v>25</v>
      </c>
      <c r="Z9" s="723" t="s">
        <v>1</v>
      </c>
      <c r="AA9" s="723" t="s">
        <v>2</v>
      </c>
      <c r="AB9" s="723" t="s">
        <v>3</v>
      </c>
      <c r="AC9" s="723" t="s">
        <v>109</v>
      </c>
      <c r="AD9" s="721" t="s">
        <v>56</v>
      </c>
      <c r="AE9" s="725" t="s">
        <v>25</v>
      </c>
      <c r="AF9" s="723" t="s">
        <v>1</v>
      </c>
      <c r="AG9" s="723" t="s">
        <v>2</v>
      </c>
      <c r="AH9" s="723" t="s">
        <v>3</v>
      </c>
      <c r="AI9" s="723" t="s">
        <v>109</v>
      </c>
      <c r="AJ9" s="721" t="s">
        <v>56</v>
      </c>
    </row>
    <row r="10" spans="3:36" ht="13.5" thickBot="1" x14ac:dyDescent="0.25">
      <c r="C10" s="265" t="s">
        <v>18</v>
      </c>
      <c r="D10" s="15"/>
      <c r="E10" s="322" t="s">
        <v>359</v>
      </c>
      <c r="F10" s="253" t="s">
        <v>359</v>
      </c>
      <c r="G10" s="322" t="s">
        <v>359</v>
      </c>
      <c r="H10" s="723" t="s">
        <v>25</v>
      </c>
      <c r="I10" s="723" t="s">
        <v>1</v>
      </c>
      <c r="J10" s="723" t="s">
        <v>2</v>
      </c>
      <c r="K10" s="723" t="s">
        <v>3</v>
      </c>
      <c r="L10" s="723" t="s">
        <v>109</v>
      </c>
      <c r="M10" s="721" t="s">
        <v>56</v>
      </c>
      <c r="N10" s="255" t="s">
        <v>341</v>
      </c>
      <c r="O10" s="725" t="s">
        <v>25</v>
      </c>
      <c r="P10" s="723" t="s">
        <v>1</v>
      </c>
      <c r="Q10" s="723" t="s">
        <v>2</v>
      </c>
      <c r="R10" s="723" t="s">
        <v>3</v>
      </c>
      <c r="S10" s="723" t="s">
        <v>109</v>
      </c>
      <c r="T10" s="721" t="s">
        <v>56</v>
      </c>
      <c r="W10" s="265" t="s">
        <v>89</v>
      </c>
      <c r="X10" s="322" t="s">
        <v>271</v>
      </c>
      <c r="Y10" s="724"/>
      <c r="Z10" s="724"/>
      <c r="AA10" s="724"/>
      <c r="AB10" s="724"/>
      <c r="AC10" s="724"/>
      <c r="AD10" s="722"/>
      <c r="AE10" s="726"/>
      <c r="AF10" s="724"/>
      <c r="AG10" s="724"/>
      <c r="AH10" s="724"/>
      <c r="AI10" s="724"/>
      <c r="AJ10" s="722"/>
    </row>
    <row r="11" spans="3:36" x14ac:dyDescent="0.2">
      <c r="C11" s="265" t="s">
        <v>202</v>
      </c>
      <c r="D11" s="265" t="s">
        <v>629</v>
      </c>
      <c r="E11" s="322" t="s">
        <v>271</v>
      </c>
      <c r="F11" s="253" t="s">
        <v>18</v>
      </c>
      <c r="G11" s="322" t="s">
        <v>271</v>
      </c>
      <c r="H11" s="728"/>
      <c r="I11" s="728"/>
      <c r="J11" s="728"/>
      <c r="K11" s="728"/>
      <c r="L11" s="728"/>
      <c r="M11" s="729"/>
      <c r="N11" s="243" t="s">
        <v>17</v>
      </c>
      <c r="O11" s="727"/>
      <c r="P11" s="728"/>
      <c r="Q11" s="728"/>
      <c r="R11" s="728"/>
      <c r="S11" s="728"/>
      <c r="T11" s="729"/>
      <c r="W11" s="496" t="str">
        <f>INT('English LRFD'!BU10)&amp;"' - "&amp;INT(('English LRFD'!BU10-INT('English LRFD'!BU10))*12)&amp;""""</f>
        <v>0' - 0"</v>
      </c>
      <c r="X11" s="490" t="str">
        <f>'English LRFD'!BV10</f>
        <v># 5</v>
      </c>
      <c r="Y11" s="491">
        <f>'English LRFD'!BW10</f>
        <v>8.75</v>
      </c>
      <c r="Z11" s="491">
        <f>'English LRFD'!BX10</f>
        <v>8.75</v>
      </c>
      <c r="AA11" s="491">
        <f>'English LRFD'!BY10</f>
        <v>8.75</v>
      </c>
      <c r="AB11" s="491">
        <f>'English LRFD'!BZ10</f>
        <v>8.75</v>
      </c>
      <c r="AC11" s="491">
        <f>'English LRFD'!CA10</f>
        <v>8.75</v>
      </c>
      <c r="AD11" s="492">
        <f>'English LRFD'!CB10</f>
        <v>8.75</v>
      </c>
      <c r="AE11" s="491">
        <f>'English LRFD'!CC10</f>
        <v>5.25</v>
      </c>
      <c r="AF11" s="491">
        <f>'English LRFD'!CD10</f>
        <v>5</v>
      </c>
      <c r="AG11" s="491">
        <f>'English LRFD'!CE10</f>
        <v>5.25</v>
      </c>
      <c r="AH11" s="491">
        <f>'English LRFD'!CF10</f>
        <v>5.25</v>
      </c>
      <c r="AI11" s="491">
        <f>'English LRFD'!CG10</f>
        <v>5.5</v>
      </c>
      <c r="AJ11" s="492">
        <f>'English LRFD'!CH10</f>
        <v>5</v>
      </c>
    </row>
    <row r="12" spans="3:36" x14ac:dyDescent="0.2">
      <c r="C12" s="498" t="str">
        <f>INT('English LRFD'!L10)&amp;"' - "&amp;INT(('English LRFD'!L10-INT('English LRFD'!L10))*12)&amp;""""</f>
        <v>4' - 0"</v>
      </c>
      <c r="D12" s="269">
        <f>'English LRFD'!M10</f>
        <v>7.5</v>
      </c>
      <c r="E12" s="377" t="str">
        <f>'English LRFD'!N10</f>
        <v># 5</v>
      </c>
      <c r="F12" s="254">
        <f>'English LRFD'!O10</f>
        <v>10</v>
      </c>
      <c r="G12" s="377" t="str">
        <f>'English LRFD'!P10</f>
        <v># 5</v>
      </c>
      <c r="H12" s="482">
        <f>'English LRFD'!Q10</f>
        <v>12</v>
      </c>
      <c r="I12" s="482">
        <f>'English LRFD'!R10</f>
        <v>11</v>
      </c>
      <c r="J12" s="482">
        <f>'English LRFD'!S10</f>
        <v>11.5</v>
      </c>
      <c r="K12" s="482">
        <f>'English LRFD'!T10</f>
        <v>12</v>
      </c>
      <c r="L12" s="482">
        <f>'English LRFD'!U10</f>
        <v>12</v>
      </c>
      <c r="M12" s="483">
        <f>'English LRFD'!V10</f>
        <v>10.25</v>
      </c>
      <c r="N12" s="244" t="str">
        <f>'English LRFD'!W10</f>
        <v># 4</v>
      </c>
      <c r="O12" s="258">
        <f>'English LRFD'!X10</f>
        <v>4</v>
      </c>
      <c r="P12" s="239">
        <f>'English LRFD'!Y10</f>
        <v>5</v>
      </c>
      <c r="Q12" s="239">
        <f>'English LRFD'!Z10</f>
        <v>5</v>
      </c>
      <c r="R12" s="239">
        <f>'English LRFD'!AA10</f>
        <v>4</v>
      </c>
      <c r="S12" s="239">
        <f>'English LRFD'!AB10</f>
        <v>3</v>
      </c>
      <c r="T12" s="259">
        <f>'English LRFD'!AC10</f>
        <v>5</v>
      </c>
      <c r="W12" s="497" t="str">
        <f>INT('English LRFD'!BU12)&amp;"' - "&amp;INT(('English LRFD'!BU12-INT('English LRFD'!BU12))*12)&amp;""""</f>
        <v>1' - 9"</v>
      </c>
      <c r="X12" s="378" t="str">
        <f>'English LRFD'!BV12</f>
        <v># 5</v>
      </c>
      <c r="Y12" s="484">
        <f>'English LRFD'!BW12</f>
        <v>8.75</v>
      </c>
      <c r="Z12" s="484">
        <f>'English LRFD'!BX12</f>
        <v>8.75</v>
      </c>
      <c r="AA12" s="484">
        <f>'English LRFD'!BY12</f>
        <v>8.75</v>
      </c>
      <c r="AB12" s="484">
        <f>'English LRFD'!BZ12</f>
        <v>8.75</v>
      </c>
      <c r="AC12" s="484">
        <f>'English LRFD'!CA12</f>
        <v>8.75</v>
      </c>
      <c r="AD12" s="485">
        <f>'English LRFD'!CB12</f>
        <v>8.75</v>
      </c>
      <c r="AE12" s="484">
        <f>'English LRFD'!CC12</f>
        <v>5.75</v>
      </c>
      <c r="AF12" s="484">
        <f>'English LRFD'!CD12</f>
        <v>5.5</v>
      </c>
      <c r="AG12" s="484">
        <f>'English LRFD'!CE12</f>
        <v>5.5</v>
      </c>
      <c r="AH12" s="484">
        <f>'English LRFD'!CF12</f>
        <v>5.75</v>
      </c>
      <c r="AI12" s="484">
        <f>'English LRFD'!CG12</f>
        <v>6</v>
      </c>
      <c r="AJ12" s="485">
        <f>'English LRFD'!CH12</f>
        <v>5.5</v>
      </c>
    </row>
    <row r="13" spans="3:36" x14ac:dyDescent="0.2">
      <c r="C13" s="497" t="str">
        <f>INT('English LRFD'!L11)&amp;"' - "&amp;INT(('English LRFD'!L11-INT('English LRFD'!L11))*12)&amp;""""</f>
        <v>4' - 3"</v>
      </c>
      <c r="D13" s="270">
        <f>'English LRFD'!M11</f>
        <v>7.5</v>
      </c>
      <c r="E13" s="378" t="str">
        <f>'English LRFD'!N11</f>
        <v># 5</v>
      </c>
      <c r="F13" s="247">
        <f>'English LRFD'!O11</f>
        <v>10</v>
      </c>
      <c r="G13" s="378" t="str">
        <f>'English LRFD'!P11</f>
        <v># 5</v>
      </c>
      <c r="H13" s="484">
        <f>'English LRFD'!Q11</f>
        <v>12</v>
      </c>
      <c r="I13" s="484">
        <f>'English LRFD'!R11</f>
        <v>10.25</v>
      </c>
      <c r="J13" s="484">
        <f>'English LRFD'!S11</f>
        <v>10.75</v>
      </c>
      <c r="K13" s="484">
        <f>'English LRFD'!T11</f>
        <v>11.5</v>
      </c>
      <c r="L13" s="484">
        <f>'English LRFD'!U11</f>
        <v>12</v>
      </c>
      <c r="M13" s="485">
        <f>'English LRFD'!V11</f>
        <v>9.75</v>
      </c>
      <c r="N13" s="246" t="str">
        <f>'English LRFD'!W11</f>
        <v># 4</v>
      </c>
      <c r="O13" s="260">
        <f>'English LRFD'!X11</f>
        <v>4</v>
      </c>
      <c r="P13" s="237">
        <f>'English LRFD'!Y11</f>
        <v>5</v>
      </c>
      <c r="Q13" s="237">
        <f>'English LRFD'!Z11</f>
        <v>5</v>
      </c>
      <c r="R13" s="237">
        <f>'English LRFD'!AA11</f>
        <v>5</v>
      </c>
      <c r="S13" s="237">
        <f>'English LRFD'!AB11</f>
        <v>4</v>
      </c>
      <c r="T13" s="261">
        <f>'English LRFD'!AC11</f>
        <v>6</v>
      </c>
      <c r="W13" s="497" t="str">
        <f>INT('English LRFD'!BU13)&amp;"' - "&amp;INT(('English LRFD'!BU13-INT('English LRFD'!BU13))*12)&amp;""""</f>
        <v>2' - 0"</v>
      </c>
      <c r="X13" s="378" t="str">
        <f>'English LRFD'!BV13</f>
        <v># 5</v>
      </c>
      <c r="Y13" s="484">
        <f>'English LRFD'!BW13</f>
        <v>8.75</v>
      </c>
      <c r="Z13" s="484">
        <f>'English LRFD'!BX13</f>
        <v>8.5</v>
      </c>
      <c r="AA13" s="484">
        <f>'English LRFD'!BY13</f>
        <v>8.5</v>
      </c>
      <c r="AB13" s="484">
        <f>'English LRFD'!BZ13</f>
        <v>8.75</v>
      </c>
      <c r="AC13" s="484">
        <f>'English LRFD'!CA13</f>
        <v>8.75</v>
      </c>
      <c r="AD13" s="485">
        <f>'English LRFD'!CB13</f>
        <v>8.25</v>
      </c>
      <c r="AE13" s="484">
        <f>'English LRFD'!CC13</f>
        <v>6</v>
      </c>
      <c r="AF13" s="484">
        <f>'English LRFD'!CD13</f>
        <v>5.75</v>
      </c>
      <c r="AG13" s="484">
        <f>'English LRFD'!CE13</f>
        <v>5.75</v>
      </c>
      <c r="AH13" s="484">
        <f>'English LRFD'!CF13</f>
        <v>6</v>
      </c>
      <c r="AI13" s="484">
        <f>'English LRFD'!CG13</f>
        <v>6.25</v>
      </c>
      <c r="AJ13" s="485">
        <f>'English LRFD'!CH13</f>
        <v>5.75</v>
      </c>
    </row>
    <row r="14" spans="3:36" x14ac:dyDescent="0.2">
      <c r="C14" s="497" t="str">
        <f>INT('English LRFD'!L12)&amp;"' - "&amp;INT(('English LRFD'!L12-INT('English LRFD'!L12))*12)&amp;""""</f>
        <v>4' - 6"</v>
      </c>
      <c r="D14" s="270">
        <f>'English LRFD'!M12</f>
        <v>7.5</v>
      </c>
      <c r="E14" s="378" t="str">
        <f>'English LRFD'!N12</f>
        <v># 5</v>
      </c>
      <c r="F14" s="247">
        <f>'English LRFD'!O12</f>
        <v>10</v>
      </c>
      <c r="G14" s="378" t="str">
        <f>'English LRFD'!P12</f>
        <v># 5</v>
      </c>
      <c r="H14" s="484">
        <f>'English LRFD'!Q12</f>
        <v>11.5</v>
      </c>
      <c r="I14" s="484">
        <f>'English LRFD'!R12</f>
        <v>9.5</v>
      </c>
      <c r="J14" s="484">
        <f>'English LRFD'!S12</f>
        <v>10</v>
      </c>
      <c r="K14" s="484">
        <f>'English LRFD'!T12</f>
        <v>11</v>
      </c>
      <c r="L14" s="484">
        <f>'English LRFD'!U12</f>
        <v>12</v>
      </c>
      <c r="M14" s="485">
        <f>'English LRFD'!V12</f>
        <v>9</v>
      </c>
      <c r="N14" s="246" t="str">
        <f>'English LRFD'!W12</f>
        <v># 4</v>
      </c>
      <c r="O14" s="260">
        <f>'English LRFD'!X12</f>
        <v>5</v>
      </c>
      <c r="P14" s="237">
        <f>'English LRFD'!Y12</f>
        <v>6</v>
      </c>
      <c r="Q14" s="237">
        <f>'English LRFD'!Z12</f>
        <v>5</v>
      </c>
      <c r="R14" s="237">
        <f>'English LRFD'!AA12</f>
        <v>5</v>
      </c>
      <c r="S14" s="237">
        <f>'English LRFD'!AB12</f>
        <v>4</v>
      </c>
      <c r="T14" s="261">
        <f>'English LRFD'!AC12</f>
        <v>6</v>
      </c>
      <c r="W14" s="497" t="str">
        <f>INT('English LRFD'!BU14)&amp;"' - "&amp;INT(('English LRFD'!BU14-INT('English LRFD'!BU14))*12)&amp;""""</f>
        <v>2' - 3"</v>
      </c>
      <c r="X14" s="378" t="str">
        <f>'English LRFD'!BV14</f>
        <v># 5</v>
      </c>
      <c r="Y14" s="484">
        <f>'English LRFD'!BW14</f>
        <v>8.75</v>
      </c>
      <c r="Z14" s="484">
        <f>'English LRFD'!BX14</f>
        <v>8.25</v>
      </c>
      <c r="AA14" s="484">
        <f>'English LRFD'!BY14</f>
        <v>8.25</v>
      </c>
      <c r="AB14" s="484">
        <f>'English LRFD'!BZ14</f>
        <v>8.75</v>
      </c>
      <c r="AC14" s="484">
        <f>'English LRFD'!CA14</f>
        <v>8.75</v>
      </c>
      <c r="AD14" s="485">
        <f>'English LRFD'!CB14</f>
        <v>8</v>
      </c>
      <c r="AE14" s="484">
        <f>'English LRFD'!CC14</f>
        <v>6.25</v>
      </c>
      <c r="AF14" s="484">
        <f>'English LRFD'!CD14</f>
        <v>6</v>
      </c>
      <c r="AG14" s="484">
        <f>'English LRFD'!CE14</f>
        <v>6</v>
      </c>
      <c r="AH14" s="484">
        <f>'English LRFD'!CF14</f>
        <v>6.25</v>
      </c>
      <c r="AI14" s="484">
        <f>'English LRFD'!CG14</f>
        <v>6.5</v>
      </c>
      <c r="AJ14" s="485">
        <f>'English LRFD'!CH14</f>
        <v>6</v>
      </c>
    </row>
    <row r="15" spans="3:36" x14ac:dyDescent="0.2">
      <c r="C15" s="497" t="str">
        <f>INT('English LRFD'!L13)&amp;"' - "&amp;INT(('English LRFD'!L13-INT('English LRFD'!L13))*12)&amp;""""</f>
        <v>4' - 9"</v>
      </c>
      <c r="D15" s="270">
        <f>'English LRFD'!M13</f>
        <v>7.5</v>
      </c>
      <c r="E15" s="378" t="str">
        <f>'English LRFD'!N13</f>
        <v># 5</v>
      </c>
      <c r="F15" s="247">
        <f>'English LRFD'!O13</f>
        <v>10</v>
      </c>
      <c r="G15" s="378" t="str">
        <f>'English LRFD'!P13</f>
        <v># 5</v>
      </c>
      <c r="H15" s="484">
        <f>'English LRFD'!Q13</f>
        <v>11</v>
      </c>
      <c r="I15" s="484">
        <f>'English LRFD'!R13</f>
        <v>9</v>
      </c>
      <c r="J15" s="484">
        <f>'English LRFD'!S13</f>
        <v>9.25</v>
      </c>
      <c r="K15" s="484">
        <f>'English LRFD'!T13</f>
        <v>10.25</v>
      </c>
      <c r="L15" s="484">
        <f>'English LRFD'!U13</f>
        <v>12</v>
      </c>
      <c r="M15" s="485">
        <f>'English LRFD'!V13</f>
        <v>8.25</v>
      </c>
      <c r="N15" s="246" t="str">
        <f>'English LRFD'!W13</f>
        <v># 4</v>
      </c>
      <c r="O15" s="260">
        <f>'English LRFD'!X13</f>
        <v>5</v>
      </c>
      <c r="P15" s="237">
        <f>'English LRFD'!Y13</f>
        <v>6</v>
      </c>
      <c r="Q15" s="237">
        <f>'English LRFD'!Z13</f>
        <v>6</v>
      </c>
      <c r="R15" s="237">
        <f>'English LRFD'!AA13</f>
        <v>5</v>
      </c>
      <c r="S15" s="237">
        <f>'English LRFD'!AB13</f>
        <v>4</v>
      </c>
      <c r="T15" s="261">
        <f>'English LRFD'!AC13</f>
        <v>6</v>
      </c>
      <c r="W15" s="497" t="str">
        <f>INT('English LRFD'!BU15)&amp;"' - "&amp;INT(('English LRFD'!BU15-INT('English LRFD'!BU15))*12)&amp;""""</f>
        <v>2' - 6"</v>
      </c>
      <c r="X15" s="378" t="str">
        <f>'English LRFD'!BV15</f>
        <v># 5</v>
      </c>
      <c r="Y15" s="484">
        <f>'English LRFD'!BW15</f>
        <v>8.5</v>
      </c>
      <c r="Z15" s="484">
        <f>'English LRFD'!BX15</f>
        <v>8</v>
      </c>
      <c r="AA15" s="484">
        <f>'English LRFD'!BY15</f>
        <v>8</v>
      </c>
      <c r="AB15" s="484">
        <f>'English LRFD'!BZ15</f>
        <v>8.25</v>
      </c>
      <c r="AC15" s="484">
        <f>'English LRFD'!CA15</f>
        <v>8.75</v>
      </c>
      <c r="AD15" s="485">
        <f>'English LRFD'!CB15</f>
        <v>7.75</v>
      </c>
      <c r="AE15" s="484">
        <f>'English LRFD'!CC15</f>
        <v>6.5</v>
      </c>
      <c r="AF15" s="484">
        <f>'English LRFD'!CD15</f>
        <v>6.25</v>
      </c>
      <c r="AG15" s="484">
        <f>'English LRFD'!CE15</f>
        <v>6.25</v>
      </c>
      <c r="AH15" s="484">
        <f>'English LRFD'!CF15</f>
        <v>6.5</v>
      </c>
      <c r="AI15" s="484">
        <f>'English LRFD'!CG15</f>
        <v>6.5</v>
      </c>
      <c r="AJ15" s="485">
        <f>'English LRFD'!CH15</f>
        <v>6</v>
      </c>
    </row>
    <row r="16" spans="3:36" x14ac:dyDescent="0.2">
      <c r="C16" s="497" t="str">
        <f>INT('English LRFD'!L14)&amp;"' - "&amp;INT(('English LRFD'!L14-INT('English LRFD'!L14))*12)&amp;""""</f>
        <v>5' - 0"</v>
      </c>
      <c r="D16" s="270">
        <f>'English LRFD'!M14</f>
        <v>7.5</v>
      </c>
      <c r="E16" s="378" t="str">
        <f>'English LRFD'!N14</f>
        <v># 5</v>
      </c>
      <c r="F16" s="247">
        <f>'English LRFD'!O14</f>
        <v>10</v>
      </c>
      <c r="G16" s="378" t="str">
        <f>'English LRFD'!P14</f>
        <v># 5</v>
      </c>
      <c r="H16" s="484">
        <f>'English LRFD'!Q14</f>
        <v>10.75</v>
      </c>
      <c r="I16" s="484">
        <f>'English LRFD'!R14</f>
        <v>8.5</v>
      </c>
      <c r="J16" s="484">
        <f>'English LRFD'!S14</f>
        <v>8.75</v>
      </c>
      <c r="K16" s="484">
        <f>'English LRFD'!T14</f>
        <v>10</v>
      </c>
      <c r="L16" s="484">
        <f>'English LRFD'!U14</f>
        <v>11.75</v>
      </c>
      <c r="M16" s="485">
        <f>'English LRFD'!V14</f>
        <v>7.75</v>
      </c>
      <c r="N16" s="246" t="str">
        <f>'English LRFD'!W14</f>
        <v># 4</v>
      </c>
      <c r="O16" s="260">
        <f>'English LRFD'!X14</f>
        <v>5</v>
      </c>
      <c r="P16" s="237">
        <f>'English LRFD'!Y14</f>
        <v>6</v>
      </c>
      <c r="Q16" s="237">
        <f>'English LRFD'!Z14</f>
        <v>6</v>
      </c>
      <c r="R16" s="237">
        <f>'English LRFD'!AA14</f>
        <v>6</v>
      </c>
      <c r="S16" s="237">
        <f>'English LRFD'!AB14</f>
        <v>5</v>
      </c>
      <c r="T16" s="261">
        <f>'English LRFD'!AC14</f>
        <v>7</v>
      </c>
      <c r="W16" s="497" t="str">
        <f>INT('English LRFD'!BU16)&amp;"' - "&amp;INT(('English LRFD'!BU16-INT('English LRFD'!BU16))*12)&amp;""""</f>
        <v>2' - 9"</v>
      </c>
      <c r="X16" s="378" t="str">
        <f>'English LRFD'!BV16</f>
        <v># 5</v>
      </c>
      <c r="Y16" s="484">
        <f>'English LRFD'!BW16</f>
        <v>8.25</v>
      </c>
      <c r="Z16" s="484">
        <f>'English LRFD'!BX16</f>
        <v>7.5</v>
      </c>
      <c r="AA16" s="484">
        <f>'English LRFD'!BY16</f>
        <v>7.75</v>
      </c>
      <c r="AB16" s="484">
        <f>'English LRFD'!BZ16</f>
        <v>8</v>
      </c>
      <c r="AC16" s="484">
        <f>'English LRFD'!CA16</f>
        <v>8.75</v>
      </c>
      <c r="AD16" s="485">
        <f>'English LRFD'!CB16</f>
        <v>7.5</v>
      </c>
      <c r="AE16" s="484">
        <f>'English LRFD'!CC16</f>
        <v>6.5</v>
      </c>
      <c r="AF16" s="484">
        <f>'English LRFD'!CD16</f>
        <v>6.25</v>
      </c>
      <c r="AG16" s="484">
        <f>'English LRFD'!CE16</f>
        <v>6.5</v>
      </c>
      <c r="AH16" s="484">
        <f>'English LRFD'!CF16</f>
        <v>6.5</v>
      </c>
      <c r="AI16" s="484">
        <f>'English LRFD'!CG16</f>
        <v>6.5</v>
      </c>
      <c r="AJ16" s="485">
        <f>'English LRFD'!CH16</f>
        <v>6.25</v>
      </c>
    </row>
    <row r="17" spans="3:36" x14ac:dyDescent="0.2">
      <c r="C17" s="497" t="str">
        <f>INT('English LRFD'!L15)&amp;"' - "&amp;INT(('English LRFD'!L15-INT('English LRFD'!L15))*12)&amp;""""</f>
        <v>5' - 3"</v>
      </c>
      <c r="D17" s="270">
        <f>'English LRFD'!M15</f>
        <v>7.5</v>
      </c>
      <c r="E17" s="378" t="str">
        <f>'English LRFD'!N15</f>
        <v># 5</v>
      </c>
      <c r="F17" s="247">
        <f>'English LRFD'!O15</f>
        <v>10</v>
      </c>
      <c r="G17" s="378" t="str">
        <f>'English LRFD'!P15</f>
        <v># 5</v>
      </c>
      <c r="H17" s="484">
        <f>'English LRFD'!Q15</f>
        <v>10.25</v>
      </c>
      <c r="I17" s="484">
        <f>'English LRFD'!R15</f>
        <v>8</v>
      </c>
      <c r="J17" s="484">
        <f>'English LRFD'!S15</f>
        <v>8.5</v>
      </c>
      <c r="K17" s="484">
        <f>'English LRFD'!T15</f>
        <v>9.5</v>
      </c>
      <c r="L17" s="484">
        <f>'English LRFD'!U15</f>
        <v>11.25</v>
      </c>
      <c r="M17" s="485">
        <f>'English LRFD'!V15</f>
        <v>7.25</v>
      </c>
      <c r="N17" s="246" t="str">
        <f>'English LRFD'!W15</f>
        <v># 4</v>
      </c>
      <c r="O17" s="260">
        <f>'English LRFD'!X15</f>
        <v>6</v>
      </c>
      <c r="P17" s="237">
        <f>'English LRFD'!Y15</f>
        <v>7</v>
      </c>
      <c r="Q17" s="237">
        <f>'English LRFD'!Z15</f>
        <v>6</v>
      </c>
      <c r="R17" s="237">
        <f>'English LRFD'!AA15</f>
        <v>6</v>
      </c>
      <c r="S17" s="237">
        <f>'English LRFD'!AB15</f>
        <v>5</v>
      </c>
      <c r="T17" s="261">
        <f>'English LRFD'!AC15</f>
        <v>7</v>
      </c>
      <c r="W17" s="497" t="str">
        <f>INT('English LRFD'!BU17)&amp;"' - "&amp;INT(('English LRFD'!BU17-INT('English LRFD'!BU17))*12)&amp;""""</f>
        <v>3' - 0"</v>
      </c>
      <c r="X17" s="378" t="str">
        <f>'English LRFD'!BV17</f>
        <v># 5</v>
      </c>
      <c r="Y17" s="484">
        <f>'English LRFD'!BW17</f>
        <v>8</v>
      </c>
      <c r="Z17" s="484">
        <f>'English LRFD'!BX17</f>
        <v>7.25</v>
      </c>
      <c r="AA17" s="484">
        <f>'English LRFD'!BY17</f>
        <v>7.5</v>
      </c>
      <c r="AB17" s="484">
        <f>'English LRFD'!BZ17</f>
        <v>7.75</v>
      </c>
      <c r="AC17" s="484">
        <f>'English LRFD'!CA17</f>
        <v>8.25</v>
      </c>
      <c r="AD17" s="485">
        <f>'English LRFD'!CB17</f>
        <v>7.25</v>
      </c>
      <c r="AE17" s="484">
        <f>'English LRFD'!CC17</f>
        <v>6.5</v>
      </c>
      <c r="AF17" s="484">
        <f>'English LRFD'!CD17</f>
        <v>6.5</v>
      </c>
      <c r="AG17" s="484">
        <f>'English LRFD'!CE17</f>
        <v>6.5</v>
      </c>
      <c r="AH17" s="484">
        <f>'English LRFD'!CF17</f>
        <v>6.5</v>
      </c>
      <c r="AI17" s="484">
        <f>'English LRFD'!CG17</f>
        <v>6.5</v>
      </c>
      <c r="AJ17" s="485">
        <f>'English LRFD'!CH17</f>
        <v>6.25</v>
      </c>
    </row>
    <row r="18" spans="3:36" x14ac:dyDescent="0.2">
      <c r="C18" s="497" t="str">
        <f>INT('English LRFD'!L16)&amp;"' - "&amp;INT(('English LRFD'!L16-INT('English LRFD'!L16))*12)&amp;""""</f>
        <v>5' - 6"</v>
      </c>
      <c r="D18" s="270">
        <f>'English LRFD'!M16</f>
        <v>7.5</v>
      </c>
      <c r="E18" s="378" t="str">
        <f>'English LRFD'!N16</f>
        <v># 5</v>
      </c>
      <c r="F18" s="247">
        <f>'English LRFD'!O16</f>
        <v>10</v>
      </c>
      <c r="G18" s="378" t="str">
        <f>'English LRFD'!P16</f>
        <v># 5</v>
      </c>
      <c r="H18" s="484">
        <f>'English LRFD'!Q16</f>
        <v>9.75</v>
      </c>
      <c r="I18" s="484">
        <f>'English LRFD'!R16</f>
        <v>7.5</v>
      </c>
      <c r="J18" s="484">
        <f>'English LRFD'!S16</f>
        <v>8</v>
      </c>
      <c r="K18" s="484">
        <f>'English LRFD'!T16</f>
        <v>9</v>
      </c>
      <c r="L18" s="484">
        <f>'English LRFD'!U16</f>
        <v>11</v>
      </c>
      <c r="M18" s="485">
        <f>'English LRFD'!V16</f>
        <v>7</v>
      </c>
      <c r="N18" s="246" t="str">
        <f>'English LRFD'!W16</f>
        <v># 4</v>
      </c>
      <c r="O18" s="260">
        <f>'English LRFD'!X16</f>
        <v>6</v>
      </c>
      <c r="P18" s="237">
        <f>'English LRFD'!Y16</f>
        <v>7</v>
      </c>
      <c r="Q18" s="237">
        <f>'English LRFD'!Z16</f>
        <v>7</v>
      </c>
      <c r="R18" s="237">
        <f>'English LRFD'!AA16</f>
        <v>6</v>
      </c>
      <c r="S18" s="237">
        <f>'English LRFD'!AB16</f>
        <v>5</v>
      </c>
      <c r="T18" s="261">
        <f>'English LRFD'!AC16</f>
        <v>7</v>
      </c>
      <c r="W18" s="497" t="str">
        <f>INT('English LRFD'!BU18)&amp;"' - "&amp;INT(('English LRFD'!BU18-INT('English LRFD'!BU18))*12)&amp;""""</f>
        <v>3' - 3"</v>
      </c>
      <c r="X18" s="378" t="str">
        <f>'English LRFD'!BV18</f>
        <v># 5</v>
      </c>
      <c r="Y18" s="484">
        <f>'English LRFD'!BW18</f>
        <v>7.75</v>
      </c>
      <c r="Z18" s="484">
        <f>'English LRFD'!BX18</f>
        <v>7</v>
      </c>
      <c r="AA18" s="484">
        <f>'English LRFD'!BY18</f>
        <v>7.25</v>
      </c>
      <c r="AB18" s="484">
        <f>'English LRFD'!BZ18</f>
        <v>7.5</v>
      </c>
      <c r="AC18" s="484">
        <f>'English LRFD'!CA18</f>
        <v>8</v>
      </c>
      <c r="AD18" s="485">
        <f>'English LRFD'!CB18</f>
        <v>7</v>
      </c>
      <c r="AE18" s="484">
        <f>'English LRFD'!CC18</f>
        <v>6.5</v>
      </c>
      <c r="AF18" s="484">
        <f>'English LRFD'!CD18</f>
        <v>6.5</v>
      </c>
      <c r="AG18" s="484">
        <f>'English LRFD'!CE18</f>
        <v>6.5</v>
      </c>
      <c r="AH18" s="484">
        <f>'English LRFD'!CF18</f>
        <v>6.5</v>
      </c>
      <c r="AI18" s="484">
        <f>'English LRFD'!CG18</f>
        <v>6.5</v>
      </c>
      <c r="AJ18" s="485">
        <f>'English LRFD'!CH18</f>
        <v>6.5</v>
      </c>
    </row>
    <row r="19" spans="3:36" x14ac:dyDescent="0.2">
      <c r="C19" s="497" t="str">
        <f>INT('English LRFD'!L17)&amp;"' - "&amp;INT(('English LRFD'!L17-INT('English LRFD'!L17))*12)&amp;""""</f>
        <v>5' - 9"</v>
      </c>
      <c r="D19" s="270">
        <f>'English LRFD'!M17</f>
        <v>7.5</v>
      </c>
      <c r="E19" s="378" t="str">
        <f>'English LRFD'!N17</f>
        <v># 5</v>
      </c>
      <c r="F19" s="247">
        <f>'English LRFD'!O17</f>
        <v>9.75</v>
      </c>
      <c r="G19" s="378" t="str">
        <f>'English LRFD'!P17</f>
        <v># 5</v>
      </c>
      <c r="H19" s="484">
        <f>'English LRFD'!Q17</f>
        <v>9.5</v>
      </c>
      <c r="I19" s="484">
        <f>'English LRFD'!R17</f>
        <v>7.25</v>
      </c>
      <c r="J19" s="484">
        <f>'English LRFD'!S17</f>
        <v>7.75</v>
      </c>
      <c r="K19" s="484">
        <f>'English LRFD'!T17</f>
        <v>8.75</v>
      </c>
      <c r="L19" s="484">
        <f>'English LRFD'!U17</f>
        <v>10.5</v>
      </c>
      <c r="M19" s="485">
        <f>'English LRFD'!V17</f>
        <v>6.75</v>
      </c>
      <c r="N19" s="246" t="str">
        <f>'English LRFD'!W17</f>
        <v># 4</v>
      </c>
      <c r="O19" s="260">
        <f>'English LRFD'!X17</f>
        <v>6</v>
      </c>
      <c r="P19" s="237">
        <f>'English LRFD'!Y17</f>
        <v>7</v>
      </c>
      <c r="Q19" s="237">
        <f>'English LRFD'!Z17</f>
        <v>7</v>
      </c>
      <c r="R19" s="237">
        <f>'English LRFD'!AA17</f>
        <v>7</v>
      </c>
      <c r="S19" s="237">
        <f>'English LRFD'!AB17</f>
        <v>6</v>
      </c>
      <c r="T19" s="261">
        <f>'English LRFD'!AC17</f>
        <v>8</v>
      </c>
      <c r="W19" s="497" t="str">
        <f>INT('English LRFD'!BU19)&amp;"' - "&amp;INT(('English LRFD'!BU19-INT('English LRFD'!BU19))*12)&amp;""""</f>
        <v>3' - 6"</v>
      </c>
      <c r="X19" s="378" t="str">
        <f>'English LRFD'!BV19</f>
        <v># 5</v>
      </c>
      <c r="Y19" s="484">
        <f>'English LRFD'!BW19</f>
        <v>7.5</v>
      </c>
      <c r="Z19" s="484">
        <f>'English LRFD'!BX19</f>
        <v>6.75</v>
      </c>
      <c r="AA19" s="484">
        <f>'English LRFD'!BY19</f>
        <v>7</v>
      </c>
      <c r="AB19" s="484">
        <f>'English LRFD'!BZ19</f>
        <v>7.25</v>
      </c>
      <c r="AC19" s="484">
        <f>'English LRFD'!CA19</f>
        <v>7.75</v>
      </c>
      <c r="AD19" s="485">
        <f>'English LRFD'!CB19</f>
        <v>6.75</v>
      </c>
      <c r="AE19" s="484">
        <f>'English LRFD'!CC19</f>
        <v>6.5</v>
      </c>
      <c r="AF19" s="484">
        <f>'English LRFD'!CD19</f>
        <v>6.5</v>
      </c>
      <c r="AG19" s="484">
        <f>'English LRFD'!CE19</f>
        <v>6.5</v>
      </c>
      <c r="AH19" s="484">
        <f>'English LRFD'!CF19</f>
        <v>6.5</v>
      </c>
      <c r="AI19" s="484">
        <f>'English LRFD'!CG19</f>
        <v>6.5</v>
      </c>
      <c r="AJ19" s="485">
        <f>'English LRFD'!CH19</f>
        <v>6.5</v>
      </c>
    </row>
    <row r="20" spans="3:36" x14ac:dyDescent="0.2">
      <c r="C20" s="497" t="str">
        <f>INT('English LRFD'!L18)&amp;"' - "&amp;INT(('English LRFD'!L18-INT('English LRFD'!L18))*12)&amp;""""</f>
        <v>6' - 0"</v>
      </c>
      <c r="D20" s="270">
        <f>'English LRFD'!M18</f>
        <v>7.5</v>
      </c>
      <c r="E20" s="378" t="str">
        <f>'English LRFD'!N18</f>
        <v># 5</v>
      </c>
      <c r="F20" s="247">
        <f>'English LRFD'!O18</f>
        <v>9.75</v>
      </c>
      <c r="G20" s="378" t="str">
        <f>'English LRFD'!P18</f>
        <v># 5</v>
      </c>
      <c r="H20" s="484">
        <f>'English LRFD'!Q18</f>
        <v>9</v>
      </c>
      <c r="I20" s="484">
        <f>'English LRFD'!R18</f>
        <v>7</v>
      </c>
      <c r="J20" s="484">
        <f>'English LRFD'!S18</f>
        <v>7.25</v>
      </c>
      <c r="K20" s="484">
        <f>'English LRFD'!T18</f>
        <v>8.25</v>
      </c>
      <c r="L20" s="484">
        <f>'English LRFD'!U18</f>
        <v>10.25</v>
      </c>
      <c r="M20" s="485">
        <f>'English LRFD'!V18</f>
        <v>6.5</v>
      </c>
      <c r="N20" s="246" t="str">
        <f>'English LRFD'!W18</f>
        <v># 4</v>
      </c>
      <c r="O20" s="260">
        <f>'English LRFD'!X18</f>
        <v>7</v>
      </c>
      <c r="P20" s="237">
        <f>'English LRFD'!Y18</f>
        <v>8</v>
      </c>
      <c r="Q20" s="237">
        <f>'English LRFD'!Z18</f>
        <v>7</v>
      </c>
      <c r="R20" s="237">
        <f>'English LRFD'!AA18</f>
        <v>7</v>
      </c>
      <c r="S20" s="237">
        <f>'English LRFD'!AB18</f>
        <v>6</v>
      </c>
      <c r="T20" s="261">
        <f>'English LRFD'!AC18</f>
        <v>8</v>
      </c>
      <c r="W20" s="497" t="str">
        <f>INT('English LRFD'!BU20)&amp;"' - "&amp;INT(('English LRFD'!BU20-INT('English LRFD'!BU20))*12)&amp;""""</f>
        <v>3' - 9"</v>
      </c>
      <c r="X20" s="378" t="str">
        <f>'English LRFD'!BV20</f>
        <v># 5</v>
      </c>
      <c r="Y20" s="484">
        <f>'English LRFD'!BW20</f>
        <v>7.25</v>
      </c>
      <c r="Z20" s="484">
        <f>'English LRFD'!BX20</f>
        <v>6.75</v>
      </c>
      <c r="AA20" s="484">
        <f>'English LRFD'!BY20</f>
        <v>6.75</v>
      </c>
      <c r="AB20" s="484">
        <f>'English LRFD'!BZ20</f>
        <v>7</v>
      </c>
      <c r="AC20" s="484">
        <f>'English LRFD'!CA20</f>
        <v>7.5</v>
      </c>
      <c r="AD20" s="485">
        <f>'English LRFD'!CB20</f>
        <v>6.5</v>
      </c>
      <c r="AE20" s="484">
        <f>'English LRFD'!CC20</f>
        <v>6.5</v>
      </c>
      <c r="AF20" s="484">
        <f>'English LRFD'!CD20</f>
        <v>6.5</v>
      </c>
      <c r="AG20" s="484">
        <f>'English LRFD'!CE20</f>
        <v>6.5</v>
      </c>
      <c r="AH20" s="484">
        <f>'English LRFD'!CF20</f>
        <v>6.5</v>
      </c>
      <c r="AI20" s="484">
        <f>'English LRFD'!CG20</f>
        <v>6.5</v>
      </c>
      <c r="AJ20" s="485">
        <f>'English LRFD'!CH20</f>
        <v>6.5</v>
      </c>
    </row>
    <row r="21" spans="3:36" x14ac:dyDescent="0.2">
      <c r="C21" s="497" t="str">
        <f>INT('English LRFD'!L19)&amp;"' - "&amp;INT(('English LRFD'!L19-INT('English LRFD'!L19))*12)&amp;""""</f>
        <v>6' - 3"</v>
      </c>
      <c r="D21" s="270">
        <f>'English LRFD'!M19</f>
        <v>7.5</v>
      </c>
      <c r="E21" s="378" t="str">
        <f>'English LRFD'!N19</f>
        <v># 5</v>
      </c>
      <c r="F21" s="247">
        <f>'English LRFD'!O19</f>
        <v>9.5</v>
      </c>
      <c r="G21" s="378" t="str">
        <f>'English LRFD'!P19</f>
        <v># 5</v>
      </c>
      <c r="H21" s="484">
        <f>'English LRFD'!Q19</f>
        <v>8.75</v>
      </c>
      <c r="I21" s="484">
        <f>'English LRFD'!R19</f>
        <v>6.75</v>
      </c>
      <c r="J21" s="484">
        <f>'English LRFD'!S19</f>
        <v>7</v>
      </c>
      <c r="K21" s="484">
        <f>'English LRFD'!T19</f>
        <v>8</v>
      </c>
      <c r="L21" s="484">
        <f>'English LRFD'!U19</f>
        <v>10</v>
      </c>
      <c r="M21" s="485">
        <f>'English LRFD'!V19</f>
        <v>6.25</v>
      </c>
      <c r="N21" s="246" t="str">
        <f>'English LRFD'!W19</f>
        <v># 4</v>
      </c>
      <c r="O21" s="260">
        <f>'English LRFD'!X19</f>
        <v>7</v>
      </c>
      <c r="P21" s="237">
        <f>'English LRFD'!Y19</f>
        <v>8</v>
      </c>
      <c r="Q21" s="237">
        <f>'English LRFD'!Z19</f>
        <v>8</v>
      </c>
      <c r="R21" s="237">
        <f>'English LRFD'!AA19</f>
        <v>7</v>
      </c>
      <c r="S21" s="237">
        <f>'English LRFD'!AB19</f>
        <v>6</v>
      </c>
      <c r="T21" s="261">
        <f>'English LRFD'!AC19</f>
        <v>9</v>
      </c>
      <c r="W21" s="497" t="str">
        <f>INT('English LRFD'!BU21)&amp;"' - "&amp;INT(('English LRFD'!BU21-INT('English LRFD'!BU21))*12)&amp;""""</f>
        <v>4' - 0"</v>
      </c>
      <c r="X21" s="378" t="str">
        <f>'English LRFD'!BV21</f>
        <v># 5</v>
      </c>
      <c r="Y21" s="484">
        <f>'English LRFD'!BW21</f>
        <v>7</v>
      </c>
      <c r="Z21" s="484">
        <f>'English LRFD'!BX21</f>
        <v>6.5</v>
      </c>
      <c r="AA21" s="484">
        <f>'English LRFD'!BY21</f>
        <v>6.5</v>
      </c>
      <c r="AB21" s="484">
        <f>'English LRFD'!BZ21</f>
        <v>6.75</v>
      </c>
      <c r="AC21" s="484">
        <f>'English LRFD'!CA21</f>
        <v>7.25</v>
      </c>
      <c r="AD21" s="485">
        <f>'English LRFD'!CB21</f>
        <v>6.25</v>
      </c>
      <c r="AE21" s="484">
        <f>'English LRFD'!CC21</f>
        <v>6.5</v>
      </c>
      <c r="AF21" s="484">
        <f>'English LRFD'!CD21</f>
        <v>6.25</v>
      </c>
      <c r="AG21" s="484">
        <f>'English LRFD'!CE21</f>
        <v>6.5</v>
      </c>
      <c r="AH21" s="484">
        <f>'English LRFD'!CF21</f>
        <v>6.5</v>
      </c>
      <c r="AI21" s="484">
        <f>'English LRFD'!CG21</f>
        <v>6.5</v>
      </c>
      <c r="AJ21" s="485">
        <f>'English LRFD'!CH21</f>
        <v>6.25</v>
      </c>
    </row>
    <row r="22" spans="3:36" x14ac:dyDescent="0.2">
      <c r="C22" s="497" t="str">
        <f>INT('English LRFD'!L20)&amp;"' - "&amp;INT(('English LRFD'!L20-INT('English LRFD'!L20))*12)&amp;""""</f>
        <v>6' - 6"</v>
      </c>
      <c r="D22" s="270">
        <f>'English LRFD'!M20</f>
        <v>7.5</v>
      </c>
      <c r="E22" s="378" t="str">
        <f>'English LRFD'!N20</f>
        <v># 5</v>
      </c>
      <c r="F22" s="247">
        <f>'English LRFD'!O20</f>
        <v>9.5</v>
      </c>
      <c r="G22" s="378" t="str">
        <f>'English LRFD'!P20</f>
        <v># 5</v>
      </c>
      <c r="H22" s="484">
        <f>'English LRFD'!Q20</f>
        <v>8.5</v>
      </c>
      <c r="I22" s="484">
        <f>'English LRFD'!R20</f>
        <v>6.5</v>
      </c>
      <c r="J22" s="484">
        <f>'English LRFD'!S20</f>
        <v>7</v>
      </c>
      <c r="K22" s="484">
        <f>'English LRFD'!T20</f>
        <v>7.75</v>
      </c>
      <c r="L22" s="484">
        <f>'English LRFD'!U20</f>
        <v>9.5</v>
      </c>
      <c r="M22" s="485">
        <f>'English LRFD'!V20</f>
        <v>6</v>
      </c>
      <c r="N22" s="246" t="str">
        <f>'English LRFD'!W20</f>
        <v># 4</v>
      </c>
      <c r="O22" s="260">
        <f>'English LRFD'!X20</f>
        <v>8</v>
      </c>
      <c r="P22" s="237">
        <f>'English LRFD'!Y20</f>
        <v>9</v>
      </c>
      <c r="Q22" s="237">
        <f>'English LRFD'!Z20</f>
        <v>8</v>
      </c>
      <c r="R22" s="237">
        <f>'English LRFD'!AA20</f>
        <v>8</v>
      </c>
      <c r="S22" s="237">
        <f>'English LRFD'!AB20</f>
        <v>7</v>
      </c>
      <c r="T22" s="261">
        <f>'English LRFD'!AC20</f>
        <v>9</v>
      </c>
      <c r="W22" s="497" t="str">
        <f>INT('English LRFD'!BU22)&amp;"' - "&amp;INT(('English LRFD'!BU22-INT('English LRFD'!BU22))*12)&amp;""""</f>
        <v>4' - 3"</v>
      </c>
      <c r="X22" s="378" t="str">
        <f>'English LRFD'!BV22</f>
        <v># 5</v>
      </c>
      <c r="Y22" s="484">
        <f>'English LRFD'!BW22</f>
        <v>6.75</v>
      </c>
      <c r="Z22" s="484">
        <f>'English LRFD'!BX22</f>
        <v>6.25</v>
      </c>
      <c r="AA22" s="484">
        <f>'English LRFD'!BY22</f>
        <v>6.25</v>
      </c>
      <c r="AB22" s="484">
        <f>'English LRFD'!BZ22</f>
        <v>6.5</v>
      </c>
      <c r="AC22" s="484">
        <f>'English LRFD'!CA22</f>
        <v>7</v>
      </c>
      <c r="AD22" s="485">
        <f>'English LRFD'!CB22</f>
        <v>6.25</v>
      </c>
      <c r="AE22" s="484">
        <f>'English LRFD'!CC22</f>
        <v>6.5</v>
      </c>
      <c r="AF22" s="484">
        <f>'English LRFD'!CD22</f>
        <v>6.25</v>
      </c>
      <c r="AG22" s="484">
        <f>'English LRFD'!CE22</f>
        <v>6.25</v>
      </c>
      <c r="AH22" s="484">
        <f>'English LRFD'!CF22</f>
        <v>6.5</v>
      </c>
      <c r="AI22" s="484">
        <f>'English LRFD'!CG22</f>
        <v>6.5</v>
      </c>
      <c r="AJ22" s="485">
        <f>'English LRFD'!CH22</f>
        <v>6</v>
      </c>
    </row>
    <row r="23" spans="3:36" x14ac:dyDescent="0.2">
      <c r="C23" s="497" t="str">
        <f>INT('English LRFD'!L21)&amp;"' - "&amp;INT(('English LRFD'!L21-INT('English LRFD'!L21))*12)&amp;""""</f>
        <v>6' - 9"</v>
      </c>
      <c r="D23" s="270">
        <f>'English LRFD'!M21</f>
        <v>7.5</v>
      </c>
      <c r="E23" s="378" t="str">
        <f>'English LRFD'!N21</f>
        <v># 5</v>
      </c>
      <c r="F23" s="247">
        <f>'English LRFD'!O21</f>
        <v>9.25</v>
      </c>
      <c r="G23" s="378" t="str">
        <f>'English LRFD'!P21</f>
        <v># 5</v>
      </c>
      <c r="H23" s="484">
        <f>'English LRFD'!Q21</f>
        <v>8.25</v>
      </c>
      <c r="I23" s="484">
        <f>'English LRFD'!R21</f>
        <v>6.25</v>
      </c>
      <c r="J23" s="484">
        <f>'English LRFD'!S21</f>
        <v>6.75</v>
      </c>
      <c r="K23" s="484">
        <f>'English LRFD'!T21</f>
        <v>7.5</v>
      </c>
      <c r="L23" s="484">
        <f>'English LRFD'!U21</f>
        <v>9.25</v>
      </c>
      <c r="M23" s="485">
        <f>'English LRFD'!V21</f>
        <v>5.75</v>
      </c>
      <c r="N23" s="246" t="str">
        <f>'English LRFD'!W21</f>
        <v># 4</v>
      </c>
      <c r="O23" s="260">
        <f>'English LRFD'!X21</f>
        <v>8</v>
      </c>
      <c r="P23" s="237">
        <f>'English LRFD'!Y21</f>
        <v>9</v>
      </c>
      <c r="Q23" s="237">
        <f>'English LRFD'!Z21</f>
        <v>9</v>
      </c>
      <c r="R23" s="237">
        <f>'English LRFD'!AA21</f>
        <v>8</v>
      </c>
      <c r="S23" s="237">
        <f>'English LRFD'!AB21</f>
        <v>7</v>
      </c>
      <c r="T23" s="261">
        <f>'English LRFD'!AC21</f>
        <v>10</v>
      </c>
      <c r="W23" s="497" t="str">
        <f>INT('English LRFD'!BU23)&amp;"' - "&amp;INT(('English LRFD'!BU23-INT('English LRFD'!BU23))*12)&amp;""""</f>
        <v>4' - 6"</v>
      </c>
      <c r="X23" s="378" t="str">
        <f>'English LRFD'!BV23</f>
        <v># 5</v>
      </c>
      <c r="Y23" s="484">
        <f>'English LRFD'!BW23</f>
        <v>6.5</v>
      </c>
      <c r="Z23" s="484">
        <f>'English LRFD'!BX23</f>
        <v>6</v>
      </c>
      <c r="AA23" s="484">
        <f>'English LRFD'!BY23</f>
        <v>6</v>
      </c>
      <c r="AB23" s="484">
        <f>'English LRFD'!BZ23</f>
        <v>6.25</v>
      </c>
      <c r="AC23" s="484">
        <f>'English LRFD'!CA23</f>
        <v>6.75</v>
      </c>
      <c r="AD23" s="485">
        <f>'English LRFD'!CB23</f>
        <v>6</v>
      </c>
      <c r="AE23" s="484">
        <f>'English LRFD'!CC23</f>
        <v>6.5</v>
      </c>
      <c r="AF23" s="484">
        <f>'English LRFD'!CD23</f>
        <v>6</v>
      </c>
      <c r="AG23" s="484">
        <f>'English LRFD'!CE23</f>
        <v>6</v>
      </c>
      <c r="AH23" s="484">
        <f>'English LRFD'!CF23</f>
        <v>6.25</v>
      </c>
      <c r="AI23" s="484">
        <f>'English LRFD'!CG23</f>
        <v>6.5</v>
      </c>
      <c r="AJ23" s="485">
        <f>'English LRFD'!CH23</f>
        <v>6</v>
      </c>
    </row>
    <row r="24" spans="3:36" x14ac:dyDescent="0.2">
      <c r="C24" s="497" t="str">
        <f>INT('English LRFD'!L22)&amp;"' - "&amp;INT(('English LRFD'!L22-INT('English LRFD'!L22))*12)&amp;""""</f>
        <v>7' - 0"</v>
      </c>
      <c r="D24" s="270">
        <f>'English LRFD'!M22</f>
        <v>7.5</v>
      </c>
      <c r="E24" s="378" t="str">
        <f>'English LRFD'!N22</f>
        <v># 5</v>
      </c>
      <c r="F24" s="247">
        <f>'English LRFD'!O22</f>
        <v>9</v>
      </c>
      <c r="G24" s="378" t="str">
        <f>'English LRFD'!P22</f>
        <v># 5</v>
      </c>
      <c r="H24" s="484">
        <f>'English LRFD'!Q22</f>
        <v>7.75</v>
      </c>
      <c r="I24" s="484">
        <f>'English LRFD'!R22</f>
        <v>6</v>
      </c>
      <c r="J24" s="484">
        <f>'English LRFD'!S22</f>
        <v>6.25</v>
      </c>
      <c r="K24" s="484">
        <f>'English LRFD'!T22</f>
        <v>7.25</v>
      </c>
      <c r="L24" s="484">
        <f>'English LRFD'!U22</f>
        <v>9</v>
      </c>
      <c r="M24" s="485">
        <f>'English LRFD'!V22</f>
        <v>5.5</v>
      </c>
      <c r="N24" s="246" t="str">
        <f>'English LRFD'!W22</f>
        <v># 4</v>
      </c>
      <c r="O24" s="260">
        <f>'English LRFD'!X22</f>
        <v>9</v>
      </c>
      <c r="P24" s="237">
        <f>'English LRFD'!Y22</f>
        <v>10</v>
      </c>
      <c r="Q24" s="237">
        <f>'English LRFD'!Z22</f>
        <v>9</v>
      </c>
      <c r="R24" s="237">
        <f>'English LRFD'!AA22</f>
        <v>9</v>
      </c>
      <c r="S24" s="237">
        <f>'English LRFD'!AB22</f>
        <v>8</v>
      </c>
      <c r="T24" s="261">
        <f>'English LRFD'!AC22</f>
        <v>10</v>
      </c>
      <c r="W24" s="497" t="str">
        <f>INT('English LRFD'!BU24)&amp;"' - "&amp;INT(('English LRFD'!BU24-INT('English LRFD'!BU24))*12)&amp;""""</f>
        <v>4' - 9"</v>
      </c>
      <c r="X24" s="378" t="str">
        <f>'English LRFD'!BV24</f>
        <v># 5</v>
      </c>
      <c r="Y24" s="484">
        <f>'English LRFD'!BW24</f>
        <v>6.25</v>
      </c>
      <c r="Z24" s="484">
        <f>'English LRFD'!BX24</f>
        <v>5.75</v>
      </c>
      <c r="AA24" s="484">
        <f>'English LRFD'!BY24</f>
        <v>6</v>
      </c>
      <c r="AB24" s="484">
        <f>'English LRFD'!BZ24</f>
        <v>6.25</v>
      </c>
      <c r="AC24" s="484">
        <f>'English LRFD'!CA24</f>
        <v>6.5</v>
      </c>
      <c r="AD24" s="485">
        <f>'English LRFD'!CB24</f>
        <v>5.75</v>
      </c>
      <c r="AE24" s="484">
        <f>'English LRFD'!CC24</f>
        <v>6.25</v>
      </c>
      <c r="AF24" s="484">
        <f>'English LRFD'!CD24</f>
        <v>5.75</v>
      </c>
      <c r="AG24" s="484">
        <f>'English LRFD'!CE24</f>
        <v>6</v>
      </c>
      <c r="AH24" s="484">
        <f>'English LRFD'!CF24</f>
        <v>6</v>
      </c>
      <c r="AI24" s="484">
        <f>'English LRFD'!CG24</f>
        <v>6.5</v>
      </c>
      <c r="AJ24" s="485">
        <f>'English LRFD'!CH24</f>
        <v>5.75</v>
      </c>
    </row>
    <row r="25" spans="3:36" x14ac:dyDescent="0.2">
      <c r="C25" s="497" t="str">
        <f>INT('English LRFD'!L23)&amp;"' - "&amp;INT(('English LRFD'!L23-INT('English LRFD'!L23))*12)&amp;""""</f>
        <v>7' - 3"</v>
      </c>
      <c r="D25" s="270">
        <f>'English LRFD'!M23</f>
        <v>7.75</v>
      </c>
      <c r="E25" s="378" t="str">
        <f>'English LRFD'!N23</f>
        <v># 5</v>
      </c>
      <c r="F25" s="247">
        <f>'English LRFD'!O23</f>
        <v>9.25</v>
      </c>
      <c r="G25" s="378" t="str">
        <f>'English LRFD'!P23</f>
        <v># 5</v>
      </c>
      <c r="H25" s="484">
        <f>'English LRFD'!Q23</f>
        <v>8</v>
      </c>
      <c r="I25" s="484">
        <f>'English LRFD'!R23</f>
        <v>6.25</v>
      </c>
      <c r="J25" s="484">
        <f>'English LRFD'!S23</f>
        <v>6.5</v>
      </c>
      <c r="K25" s="484">
        <f>'English LRFD'!T23</f>
        <v>7.25</v>
      </c>
      <c r="L25" s="484">
        <f>'English LRFD'!U23</f>
        <v>9</v>
      </c>
      <c r="M25" s="485">
        <f>'English LRFD'!V23</f>
        <v>5.75</v>
      </c>
      <c r="N25" s="246" t="str">
        <f>'English LRFD'!W23</f>
        <v># 4</v>
      </c>
      <c r="O25" s="260">
        <f>'English LRFD'!X23</f>
        <v>9</v>
      </c>
      <c r="P25" s="237">
        <f>'English LRFD'!Y23</f>
        <v>10</v>
      </c>
      <c r="Q25" s="237">
        <f>'English LRFD'!Z23</f>
        <v>10</v>
      </c>
      <c r="R25" s="237">
        <f>'English LRFD'!AA23</f>
        <v>9</v>
      </c>
      <c r="S25" s="237">
        <f>'English LRFD'!AB23</f>
        <v>8</v>
      </c>
      <c r="T25" s="261">
        <f>'English LRFD'!AC23</f>
        <v>10</v>
      </c>
      <c r="W25" s="497" t="str">
        <f>INT('English LRFD'!BU25)&amp;"' - "&amp;INT(('English LRFD'!BU25-INT('English LRFD'!BU25))*12)&amp;""""</f>
        <v>5' - 0"</v>
      </c>
      <c r="X25" s="378" t="str">
        <f>'English LRFD'!BV25</f>
        <v># 5</v>
      </c>
      <c r="Y25" s="484">
        <f>'English LRFD'!BW25</f>
        <v>6</v>
      </c>
      <c r="Z25" s="484">
        <f>'English LRFD'!BX25</f>
        <v>5.75</v>
      </c>
      <c r="AA25" s="484">
        <f>'English LRFD'!BY25</f>
        <v>5.75</v>
      </c>
      <c r="AB25" s="484">
        <f>'English LRFD'!BZ25</f>
        <v>6</v>
      </c>
      <c r="AC25" s="484">
        <f>'English LRFD'!CA25</f>
        <v>6.25</v>
      </c>
      <c r="AD25" s="485">
        <f>'English LRFD'!CB25</f>
        <v>5.5</v>
      </c>
      <c r="AE25" s="484">
        <f>'English LRFD'!CC25</f>
        <v>6</v>
      </c>
      <c r="AF25" s="484">
        <f>'English LRFD'!CD25</f>
        <v>5.75</v>
      </c>
      <c r="AG25" s="484">
        <f>'English LRFD'!CE25</f>
        <v>5.75</v>
      </c>
      <c r="AH25" s="484">
        <f>'English LRFD'!CF25</f>
        <v>6</v>
      </c>
      <c r="AI25" s="484">
        <f>'English LRFD'!CG25</f>
        <v>6.25</v>
      </c>
      <c r="AJ25" s="485">
        <f>'English LRFD'!CH25</f>
        <v>5.5</v>
      </c>
    </row>
    <row r="26" spans="3:36" x14ac:dyDescent="0.2">
      <c r="C26" s="497" t="str">
        <f>INT('English LRFD'!L24)&amp;"' - "&amp;INT(('English LRFD'!L24-INT('English LRFD'!L24))*12)&amp;""""</f>
        <v>7' - 6"</v>
      </c>
      <c r="D26" s="270">
        <f>'English LRFD'!M24</f>
        <v>7.75</v>
      </c>
      <c r="E26" s="378" t="str">
        <f>'English LRFD'!N24</f>
        <v># 5</v>
      </c>
      <c r="F26" s="247">
        <f>'English LRFD'!O24</f>
        <v>9</v>
      </c>
      <c r="G26" s="378" t="str">
        <f>'English LRFD'!P24</f>
        <v># 5</v>
      </c>
      <c r="H26" s="484">
        <f>'English LRFD'!Q24</f>
        <v>7.75</v>
      </c>
      <c r="I26" s="484">
        <f>'English LRFD'!R24</f>
        <v>6</v>
      </c>
      <c r="J26" s="484">
        <f>'English LRFD'!S24</f>
        <v>6.25</v>
      </c>
      <c r="K26" s="484">
        <f>'English LRFD'!T24</f>
        <v>7.25</v>
      </c>
      <c r="L26" s="484">
        <f>'English LRFD'!U24</f>
        <v>8.75</v>
      </c>
      <c r="M26" s="485">
        <f>'English LRFD'!V24</f>
        <v>5.5</v>
      </c>
      <c r="N26" s="246" t="str">
        <f>'English LRFD'!W24</f>
        <v># 4</v>
      </c>
      <c r="O26" s="260">
        <f>'English LRFD'!X24</f>
        <v>9</v>
      </c>
      <c r="P26" s="237">
        <f>'English LRFD'!Y24</f>
        <v>10</v>
      </c>
      <c r="Q26" s="237">
        <f>'English LRFD'!Z24</f>
        <v>10</v>
      </c>
      <c r="R26" s="237">
        <f>'English LRFD'!AA24</f>
        <v>10</v>
      </c>
      <c r="S26" s="237">
        <f>'English LRFD'!AB24</f>
        <v>9</v>
      </c>
      <c r="T26" s="261">
        <f>'English LRFD'!AC24</f>
        <v>11</v>
      </c>
      <c r="W26" s="497" t="str">
        <f>INT('English LRFD'!BU26)&amp;"' - "&amp;INT(('English LRFD'!BU26-INT('English LRFD'!BU26))*12)&amp;""""</f>
        <v>5' - 3"</v>
      </c>
      <c r="X26" s="378" t="str">
        <f>'English LRFD'!BV26</f>
        <v># 5</v>
      </c>
      <c r="Y26" s="484">
        <f>'English LRFD'!BW26</f>
        <v>6</v>
      </c>
      <c r="Z26" s="484">
        <f>'English LRFD'!BX26</f>
        <v>5.5</v>
      </c>
      <c r="AA26" s="484">
        <f>'English LRFD'!BY26</f>
        <v>5.5</v>
      </c>
      <c r="AB26" s="484">
        <f>'English LRFD'!BZ26</f>
        <v>5.75</v>
      </c>
      <c r="AC26" s="484">
        <f>'English LRFD'!CA26</f>
        <v>6.25</v>
      </c>
      <c r="AD26" s="485">
        <f>'English LRFD'!CB26</f>
        <v>5.5</v>
      </c>
      <c r="AE26" s="484">
        <f>'English LRFD'!CC26</f>
        <v>6</v>
      </c>
      <c r="AF26" s="484">
        <f>'English LRFD'!CD26</f>
        <v>5.5</v>
      </c>
      <c r="AG26" s="484">
        <f>'English LRFD'!CE26</f>
        <v>5.5</v>
      </c>
      <c r="AH26" s="484">
        <f>'English LRFD'!CF26</f>
        <v>5.75</v>
      </c>
      <c r="AI26" s="484">
        <f>'English LRFD'!CG26</f>
        <v>6</v>
      </c>
      <c r="AJ26" s="485">
        <f>'English LRFD'!CH26</f>
        <v>5.5</v>
      </c>
    </row>
    <row r="27" spans="3:36" x14ac:dyDescent="0.2">
      <c r="C27" s="497" t="str">
        <f>INT('English LRFD'!L25)&amp;"' - "&amp;INT(('English LRFD'!L25-INT('English LRFD'!L25))*12)&amp;""""</f>
        <v>7' - 9"</v>
      </c>
      <c r="D27" s="270">
        <f>'English LRFD'!M25</f>
        <v>7.75</v>
      </c>
      <c r="E27" s="378" t="str">
        <f>'English LRFD'!N25</f>
        <v># 5</v>
      </c>
      <c r="F27" s="247">
        <f>'English LRFD'!O25</f>
        <v>8.75</v>
      </c>
      <c r="G27" s="378" t="str">
        <f>'English LRFD'!P25</f>
        <v># 5</v>
      </c>
      <c r="H27" s="484">
        <f>'English LRFD'!Q25</f>
        <v>7.5</v>
      </c>
      <c r="I27" s="484">
        <f>'English LRFD'!R25</f>
        <v>6</v>
      </c>
      <c r="J27" s="484">
        <f>'English LRFD'!S25</f>
        <v>6.25</v>
      </c>
      <c r="K27" s="484">
        <f>'English LRFD'!T25</f>
        <v>7</v>
      </c>
      <c r="L27" s="484">
        <f>'English LRFD'!U25</f>
        <v>8.25</v>
      </c>
      <c r="M27" s="485">
        <f>'English LRFD'!V25</f>
        <v>5.5</v>
      </c>
      <c r="N27" s="246" t="str">
        <f>'English LRFD'!W25</f>
        <v># 4</v>
      </c>
      <c r="O27" s="260">
        <f>'English LRFD'!X25</f>
        <v>10</v>
      </c>
      <c r="P27" s="237">
        <f>'English LRFD'!Y25</f>
        <v>11</v>
      </c>
      <c r="Q27" s="237">
        <f>'English LRFD'!Z25</f>
        <v>11</v>
      </c>
      <c r="R27" s="237">
        <f>'English LRFD'!AA25</f>
        <v>10</v>
      </c>
      <c r="S27" s="237">
        <f>'English LRFD'!AB25</f>
        <v>9</v>
      </c>
      <c r="T27" s="261">
        <f>'English LRFD'!AC25</f>
        <v>12</v>
      </c>
      <c r="W27" s="497" t="str">
        <f>INT('English LRFD'!BU27)&amp;"' - "&amp;INT(('English LRFD'!BU27-INT('English LRFD'!BU27))*12)&amp;""""</f>
        <v>5' - 6"</v>
      </c>
      <c r="X27" s="378" t="str">
        <f>'English LRFD'!BV27</f>
        <v># 5</v>
      </c>
      <c r="Y27" s="484">
        <f>'English LRFD'!BW27</f>
        <v>5.75</v>
      </c>
      <c r="Z27" s="484">
        <f>'English LRFD'!BX27</f>
        <v>5.25</v>
      </c>
      <c r="AA27" s="484">
        <f>'English LRFD'!BY27</f>
        <v>5.25</v>
      </c>
      <c r="AB27" s="484">
        <f>'English LRFD'!BZ27</f>
        <v>5.5</v>
      </c>
      <c r="AC27" s="484">
        <f>'English LRFD'!CA27</f>
        <v>6</v>
      </c>
      <c r="AD27" s="485">
        <f>'English LRFD'!CB27</f>
        <v>5.25</v>
      </c>
      <c r="AE27" s="484">
        <f>'English LRFD'!CC27</f>
        <v>5.75</v>
      </c>
      <c r="AF27" s="484">
        <f>'English LRFD'!CD27</f>
        <v>5.25</v>
      </c>
      <c r="AG27" s="484">
        <f>'English LRFD'!CE27</f>
        <v>5.5</v>
      </c>
      <c r="AH27" s="484">
        <f>'English LRFD'!CF27</f>
        <v>5.5</v>
      </c>
      <c r="AI27" s="484">
        <f>'English LRFD'!CG27</f>
        <v>6</v>
      </c>
      <c r="AJ27" s="485">
        <f>'English LRFD'!CH27</f>
        <v>5.25</v>
      </c>
    </row>
    <row r="28" spans="3:36" x14ac:dyDescent="0.2">
      <c r="C28" s="497" t="str">
        <f>INT('English LRFD'!L26)&amp;"' - "&amp;INT(('English LRFD'!L26-INT('English LRFD'!L26))*12)&amp;""""</f>
        <v>8' - 0"</v>
      </c>
      <c r="D28" s="270">
        <f>'English LRFD'!M26</f>
        <v>7.75</v>
      </c>
      <c r="E28" s="378" t="str">
        <f>'English LRFD'!N26</f>
        <v># 5</v>
      </c>
      <c r="F28" s="247">
        <f>'English LRFD'!O26</f>
        <v>8.5</v>
      </c>
      <c r="G28" s="378" t="str">
        <f>'English LRFD'!P26</f>
        <v># 5</v>
      </c>
      <c r="H28" s="484">
        <f>'English LRFD'!Q26</f>
        <v>7.25</v>
      </c>
      <c r="I28" s="484">
        <f>'English LRFD'!R26</f>
        <v>5.75</v>
      </c>
      <c r="J28" s="484">
        <f>'English LRFD'!S26</f>
        <v>6</v>
      </c>
      <c r="K28" s="484">
        <f>'English LRFD'!T26</f>
        <v>6.75</v>
      </c>
      <c r="L28" s="484">
        <f>'English LRFD'!U26</f>
        <v>7.75</v>
      </c>
      <c r="M28" s="485">
        <f>'English LRFD'!V26</f>
        <v>5.5</v>
      </c>
      <c r="N28" s="246" t="str">
        <f>'English LRFD'!W26</f>
        <v># 4</v>
      </c>
      <c r="O28" s="260">
        <f>'English LRFD'!X26</f>
        <v>10</v>
      </c>
      <c r="P28" s="237">
        <f>'English LRFD'!Y26</f>
        <v>12</v>
      </c>
      <c r="Q28" s="237">
        <f>'English LRFD'!Z26</f>
        <v>11</v>
      </c>
      <c r="R28" s="237">
        <f>'English LRFD'!AA26</f>
        <v>11</v>
      </c>
      <c r="S28" s="237">
        <f>'English LRFD'!AB26</f>
        <v>10</v>
      </c>
      <c r="T28" s="261">
        <f>'English LRFD'!AC26</f>
        <v>12</v>
      </c>
      <c r="W28" s="497" t="str">
        <f>INT('English LRFD'!BU28)&amp;"' - "&amp;INT(('English LRFD'!BU28-INT('English LRFD'!BU28))*12)&amp;""""</f>
        <v>5' - 9"</v>
      </c>
      <c r="X28" s="378" t="str">
        <f>'English LRFD'!BV28</f>
        <v># 5</v>
      </c>
      <c r="Y28" s="484">
        <f>'English LRFD'!BW28</f>
        <v>5.5</v>
      </c>
      <c r="Z28" s="484">
        <f>'English LRFD'!BX28</f>
        <v>5.25</v>
      </c>
      <c r="AA28" s="484">
        <f>'English LRFD'!BY28</f>
        <v>5.25</v>
      </c>
      <c r="AB28" s="484">
        <f>'English LRFD'!BZ28</f>
        <v>5.5</v>
      </c>
      <c r="AC28" s="484">
        <f>'English LRFD'!CA28</f>
        <v>5.75</v>
      </c>
      <c r="AD28" s="485">
        <f>'English LRFD'!CB28</f>
        <v>5</v>
      </c>
      <c r="AE28" s="484">
        <f>'English LRFD'!CC28</f>
        <v>5.5</v>
      </c>
      <c r="AF28" s="484">
        <f>'English LRFD'!CD28</f>
        <v>5.25</v>
      </c>
      <c r="AG28" s="484">
        <f>'English LRFD'!CE28</f>
        <v>5.25</v>
      </c>
      <c r="AH28" s="484">
        <f>'English LRFD'!CF28</f>
        <v>5.5</v>
      </c>
      <c r="AI28" s="484">
        <f>'English LRFD'!CG28</f>
        <v>5.75</v>
      </c>
      <c r="AJ28" s="485">
        <f>'English LRFD'!CH28</f>
        <v>5.25</v>
      </c>
    </row>
    <row r="29" spans="3:36" x14ac:dyDescent="0.2">
      <c r="C29" s="497" t="str">
        <f>INT('English LRFD'!L27)&amp;"' - "&amp;INT(('English LRFD'!L27-INT('English LRFD'!L27))*12)&amp;""""</f>
        <v>8' - 3"</v>
      </c>
      <c r="D29" s="270">
        <f>'English LRFD'!M27</f>
        <v>7.75</v>
      </c>
      <c r="E29" s="378" t="str">
        <f>'English LRFD'!N27</f>
        <v># 5</v>
      </c>
      <c r="F29" s="247">
        <f>'English LRFD'!O27</f>
        <v>8.25</v>
      </c>
      <c r="G29" s="378" t="str">
        <f>'English LRFD'!P27</f>
        <v># 5</v>
      </c>
      <c r="H29" s="484">
        <f>'English LRFD'!Q27</f>
        <v>7</v>
      </c>
      <c r="I29" s="484">
        <f>'English LRFD'!R27</f>
        <v>5.75</v>
      </c>
      <c r="J29" s="484">
        <f>'English LRFD'!S27</f>
        <v>6</v>
      </c>
      <c r="K29" s="484">
        <f>'English LRFD'!T27</f>
        <v>6.75</v>
      </c>
      <c r="L29" s="484">
        <f>'English LRFD'!U27</f>
        <v>7.5</v>
      </c>
      <c r="M29" s="485">
        <f>'English LRFD'!V27</f>
        <v>5.25</v>
      </c>
      <c r="N29" s="246" t="str">
        <f>'English LRFD'!W27</f>
        <v># 4</v>
      </c>
      <c r="O29" s="260">
        <f>'English LRFD'!X27</f>
        <v>11</v>
      </c>
      <c r="P29" s="237">
        <f>'English LRFD'!Y27</f>
        <v>12</v>
      </c>
      <c r="Q29" s="237">
        <f>'English LRFD'!Z27</f>
        <v>12</v>
      </c>
      <c r="R29" s="237">
        <f>'English LRFD'!AA27</f>
        <v>12</v>
      </c>
      <c r="S29" s="237">
        <f>'English LRFD'!AB27</f>
        <v>10</v>
      </c>
      <c r="T29" s="261">
        <f>'English LRFD'!AC27</f>
        <v>13</v>
      </c>
      <c r="W29" s="497" t="str">
        <f>INT('English LRFD'!BU29)&amp;"' - "&amp;INT(('English LRFD'!BU29-INT('English LRFD'!BU29))*12)&amp;""""</f>
        <v>6' - 0"</v>
      </c>
      <c r="X29" s="378" t="str">
        <f>'English LRFD'!BV29</f>
        <v># 5</v>
      </c>
      <c r="Y29" s="488">
        <f>'English LRFD'!BW29</f>
        <v>5.25</v>
      </c>
      <c r="Z29" s="488">
        <f>'English LRFD'!BX29</f>
        <v>5</v>
      </c>
      <c r="AA29" s="488">
        <f>'English LRFD'!BY29</f>
        <v>5</v>
      </c>
      <c r="AB29" s="488">
        <f>'English LRFD'!BZ29</f>
        <v>5.25</v>
      </c>
      <c r="AC29" s="488">
        <f>'English LRFD'!CA29</f>
        <v>5.5</v>
      </c>
      <c r="AD29" s="489">
        <f>'English LRFD'!CB29</f>
        <v>5</v>
      </c>
      <c r="AE29" s="488">
        <f>'English LRFD'!CC29</f>
        <v>5.5</v>
      </c>
      <c r="AF29" s="488">
        <f>'English LRFD'!CD29</f>
        <v>5</v>
      </c>
      <c r="AG29" s="488">
        <f>'English LRFD'!CE29</f>
        <v>5</v>
      </c>
      <c r="AH29" s="488">
        <f>'English LRFD'!CF29</f>
        <v>5.25</v>
      </c>
      <c r="AI29" s="488">
        <f>'English LRFD'!CG29</f>
        <v>5.5</v>
      </c>
      <c r="AJ29" s="489">
        <f>'English LRFD'!CH29</f>
        <v>5</v>
      </c>
    </row>
    <row r="30" spans="3:36" x14ac:dyDescent="0.2">
      <c r="C30" s="497" t="str">
        <f>INT('English LRFD'!L28)&amp;"' - "&amp;INT(('English LRFD'!L28-INT('English LRFD'!L28))*12)&amp;""""</f>
        <v>8' - 6"</v>
      </c>
      <c r="D30" s="270">
        <f>'English LRFD'!M28</f>
        <v>7.75</v>
      </c>
      <c r="E30" s="378" t="str">
        <f>'English LRFD'!N28</f>
        <v># 5</v>
      </c>
      <c r="F30" s="247">
        <f>'English LRFD'!O28</f>
        <v>8</v>
      </c>
      <c r="G30" s="378" t="str">
        <f>'English LRFD'!P28</f>
        <v># 5</v>
      </c>
      <c r="H30" s="484">
        <f>'English LRFD'!Q28</f>
        <v>7</v>
      </c>
      <c r="I30" s="484">
        <f>'English LRFD'!R28</f>
        <v>5.5</v>
      </c>
      <c r="J30" s="484">
        <f>'English LRFD'!S28</f>
        <v>6</v>
      </c>
      <c r="K30" s="484">
        <f>'English LRFD'!T28</f>
        <v>6.5</v>
      </c>
      <c r="L30" s="484">
        <f>'English LRFD'!U28</f>
        <v>7.25</v>
      </c>
      <c r="M30" s="485">
        <f>'English LRFD'!V28</f>
        <v>5.25</v>
      </c>
      <c r="N30" s="246" t="str">
        <f>'English LRFD'!W28</f>
        <v># 4</v>
      </c>
      <c r="O30" s="260">
        <f>'English LRFD'!X28</f>
        <v>12</v>
      </c>
      <c r="P30" s="237">
        <f>'English LRFD'!Y28</f>
        <v>13</v>
      </c>
      <c r="Q30" s="237">
        <f>'English LRFD'!Z28</f>
        <v>13</v>
      </c>
      <c r="R30" s="237">
        <f>'English LRFD'!AA28</f>
        <v>12</v>
      </c>
      <c r="S30" s="237">
        <f>'English LRFD'!AB28</f>
        <v>11</v>
      </c>
      <c r="T30" s="261">
        <f>'English LRFD'!AC28</f>
        <v>14</v>
      </c>
      <c r="W30" s="498" t="str">
        <f>INT('English LRFD'!CI10)&amp;"' - "&amp;INT(('English LRFD'!CI10-INT('English LRFD'!CI10))*12)&amp;""""</f>
        <v>0' - 0"</v>
      </c>
      <c r="X30" s="486" t="str">
        <f>'English LRFD'!CJ10</f>
        <v># 6</v>
      </c>
      <c r="Y30" s="482">
        <f>'English LRFD'!CK10</f>
        <v>12.5</v>
      </c>
      <c r="Z30" s="482">
        <f>'English LRFD'!CL10</f>
        <v>12.5</v>
      </c>
      <c r="AA30" s="482">
        <f>'English LRFD'!CM10</f>
        <v>12.5</v>
      </c>
      <c r="AB30" s="482">
        <f>'English LRFD'!CN10</f>
        <v>12.5</v>
      </c>
      <c r="AC30" s="482">
        <f>'English LRFD'!CO10</f>
        <v>12.5</v>
      </c>
      <c r="AD30" s="483">
        <f>'English LRFD'!CP10</f>
        <v>12.5</v>
      </c>
      <c r="AE30" s="482">
        <f>'English LRFD'!CQ10</f>
        <v>7.75</v>
      </c>
      <c r="AF30" s="482">
        <f>'English LRFD'!CR10</f>
        <v>7.25</v>
      </c>
      <c r="AG30" s="482">
        <f>'English LRFD'!CS10</f>
        <v>7.5</v>
      </c>
      <c r="AH30" s="482">
        <f>'English LRFD'!CT10</f>
        <v>7.5</v>
      </c>
      <c r="AI30" s="482">
        <f>'English LRFD'!CU10</f>
        <v>7.75</v>
      </c>
      <c r="AJ30" s="483">
        <f>'English LRFD'!CV10</f>
        <v>7.25</v>
      </c>
    </row>
    <row r="31" spans="3:36" x14ac:dyDescent="0.2">
      <c r="C31" s="497" t="str">
        <f>INT('English LRFD'!L29)&amp;"' - "&amp;INT(('English LRFD'!L29-INT('English LRFD'!L29))*12)&amp;""""</f>
        <v>8' - 9"</v>
      </c>
      <c r="D31" s="270">
        <f>'English LRFD'!M29</f>
        <v>8</v>
      </c>
      <c r="E31" s="378" t="str">
        <f>'English LRFD'!N29</f>
        <v># 5</v>
      </c>
      <c r="F31" s="247">
        <f>'English LRFD'!O29</f>
        <v>8</v>
      </c>
      <c r="G31" s="378" t="str">
        <f>'English LRFD'!P29</f>
        <v># 5</v>
      </c>
      <c r="H31" s="484">
        <f>'English LRFD'!Q29</f>
        <v>7</v>
      </c>
      <c r="I31" s="484">
        <f>'English LRFD'!R29</f>
        <v>5.75</v>
      </c>
      <c r="J31" s="484">
        <f>'English LRFD'!S29</f>
        <v>6</v>
      </c>
      <c r="K31" s="484">
        <f>'English LRFD'!T29</f>
        <v>6.75</v>
      </c>
      <c r="L31" s="484">
        <f>'English LRFD'!U29</f>
        <v>7.5</v>
      </c>
      <c r="M31" s="485">
        <f>'English LRFD'!V29</f>
        <v>5.5</v>
      </c>
      <c r="N31" s="246" t="str">
        <f>'English LRFD'!W29</f>
        <v># 4</v>
      </c>
      <c r="O31" s="260">
        <f>'English LRFD'!X29</f>
        <v>12</v>
      </c>
      <c r="P31" s="237">
        <f>'English LRFD'!Y29</f>
        <v>13</v>
      </c>
      <c r="Q31" s="237">
        <f>'English LRFD'!Z29</f>
        <v>13</v>
      </c>
      <c r="R31" s="237">
        <f>'English LRFD'!AA29</f>
        <v>12</v>
      </c>
      <c r="S31" s="237">
        <f>'English LRFD'!AB29</f>
        <v>11</v>
      </c>
      <c r="T31" s="261">
        <f>'English LRFD'!AC29</f>
        <v>14</v>
      </c>
      <c r="W31" s="497" t="str">
        <f>INT('English LRFD'!CI12)&amp;"' - "&amp;INT(('English LRFD'!CI12-INT('English LRFD'!CI12))*12)&amp;""""</f>
        <v>1' - 9"</v>
      </c>
      <c r="X31" s="487" t="str">
        <f>'English LRFD'!CJ12</f>
        <v># 6</v>
      </c>
      <c r="Y31" s="484">
        <f>'English LRFD'!CK12</f>
        <v>12.5</v>
      </c>
      <c r="Z31" s="484">
        <f>'English LRFD'!CL12</f>
        <v>12.5</v>
      </c>
      <c r="AA31" s="484">
        <f>'English LRFD'!CM12</f>
        <v>12.5</v>
      </c>
      <c r="AB31" s="484">
        <f>'English LRFD'!CN12</f>
        <v>12.5</v>
      </c>
      <c r="AC31" s="484">
        <f>'English LRFD'!CO12</f>
        <v>12.5</v>
      </c>
      <c r="AD31" s="485">
        <f>'English LRFD'!CP12</f>
        <v>12.25</v>
      </c>
      <c r="AE31" s="484">
        <f>'English LRFD'!CQ12</f>
        <v>8.25</v>
      </c>
      <c r="AF31" s="484">
        <f>'English LRFD'!CR12</f>
        <v>7.75</v>
      </c>
      <c r="AG31" s="484">
        <f>'English LRFD'!CS12</f>
        <v>8</v>
      </c>
      <c r="AH31" s="484">
        <f>'English LRFD'!CT12</f>
        <v>8</v>
      </c>
      <c r="AI31" s="484">
        <f>'English LRFD'!CU12</f>
        <v>8.5</v>
      </c>
      <c r="AJ31" s="485">
        <f>'English LRFD'!CV12</f>
        <v>7.75</v>
      </c>
    </row>
    <row r="32" spans="3:36" x14ac:dyDescent="0.2">
      <c r="C32" s="497" t="str">
        <f>INT('English LRFD'!L30)&amp;"' - "&amp;INT(('English LRFD'!L30-INT('English LRFD'!L30))*12)&amp;""""</f>
        <v>9' - 0"</v>
      </c>
      <c r="D32" s="270">
        <f>'English LRFD'!M30</f>
        <v>8</v>
      </c>
      <c r="E32" s="378" t="str">
        <f>'English LRFD'!N30</f>
        <v># 5</v>
      </c>
      <c r="F32" s="247">
        <f>'English LRFD'!O30</f>
        <v>7.75</v>
      </c>
      <c r="G32" s="378" t="str">
        <f>'English LRFD'!P30</f>
        <v># 5</v>
      </c>
      <c r="H32" s="234">
        <f>'English LRFD'!Q30</f>
        <v>7</v>
      </c>
      <c r="I32" s="234">
        <f>'English LRFD'!R30</f>
        <v>5.75</v>
      </c>
      <c r="J32" s="234">
        <f>'English LRFD'!S30</f>
        <v>6</v>
      </c>
      <c r="K32" s="234">
        <f>'English LRFD'!T30</f>
        <v>6.75</v>
      </c>
      <c r="L32" s="234">
        <f>'English LRFD'!U30</f>
        <v>7.25</v>
      </c>
      <c r="M32" s="247">
        <f>'English LRFD'!V30</f>
        <v>5.25</v>
      </c>
      <c r="N32" s="246" t="str">
        <f>'English LRFD'!W30</f>
        <v># 4</v>
      </c>
      <c r="O32" s="260">
        <f>'English LRFD'!X30</f>
        <v>13</v>
      </c>
      <c r="P32" s="237">
        <f>'English LRFD'!Y30</f>
        <v>14</v>
      </c>
      <c r="Q32" s="237">
        <f>'English LRFD'!Z30</f>
        <v>14</v>
      </c>
      <c r="R32" s="237">
        <f>'English LRFD'!AA30</f>
        <v>13</v>
      </c>
      <c r="S32" s="237">
        <f>'English LRFD'!AB30</f>
        <v>12</v>
      </c>
      <c r="T32" s="261">
        <f>'English LRFD'!AC30</f>
        <v>15</v>
      </c>
      <c r="W32" s="497" t="str">
        <f>INT('English LRFD'!CI13)&amp;"' - "&amp;INT(('English LRFD'!CI13-INT('English LRFD'!CI13))*12)&amp;""""</f>
        <v>2' - 0"</v>
      </c>
      <c r="X32" s="487" t="str">
        <f>'English LRFD'!CJ13</f>
        <v># 6</v>
      </c>
      <c r="Y32" s="484">
        <f>'English LRFD'!CK13</f>
        <v>12.5</v>
      </c>
      <c r="Z32" s="484">
        <f>'English LRFD'!CL13</f>
        <v>12</v>
      </c>
      <c r="AA32" s="484">
        <f>'English LRFD'!CM13</f>
        <v>12.25</v>
      </c>
      <c r="AB32" s="484">
        <f>'English LRFD'!CN13</f>
        <v>12.5</v>
      </c>
      <c r="AC32" s="484">
        <f>'English LRFD'!CO13</f>
        <v>12.5</v>
      </c>
      <c r="AD32" s="485">
        <f>'English LRFD'!CP13</f>
        <v>11.75</v>
      </c>
      <c r="AE32" s="484">
        <f>'English LRFD'!CQ13</f>
        <v>8.75</v>
      </c>
      <c r="AF32" s="484">
        <f>'English LRFD'!CR13</f>
        <v>8.25</v>
      </c>
      <c r="AG32" s="484">
        <f>'English LRFD'!CS13</f>
        <v>8.25</v>
      </c>
      <c r="AH32" s="484">
        <f>'English LRFD'!CT13</f>
        <v>8.5</v>
      </c>
      <c r="AI32" s="484">
        <f>'English LRFD'!CU13</f>
        <v>8.75</v>
      </c>
      <c r="AJ32" s="485">
        <f>'English LRFD'!CV13</f>
        <v>8.25</v>
      </c>
    </row>
    <row r="33" spans="3:36" x14ac:dyDescent="0.2">
      <c r="C33" s="497" t="str">
        <f>INT('English LRFD'!L31)&amp;"' - "&amp;INT(('English LRFD'!L31-INT('English LRFD'!L31))*12)&amp;""""</f>
        <v>9' - 3"</v>
      </c>
      <c r="D33" s="270">
        <f>'English LRFD'!M31</f>
        <v>8</v>
      </c>
      <c r="E33" s="378" t="str">
        <f>'English LRFD'!N31</f>
        <v># 5</v>
      </c>
      <c r="F33" s="247">
        <f>'English LRFD'!O31</f>
        <v>7.75</v>
      </c>
      <c r="G33" s="378" t="str">
        <f>'English LRFD'!P31</f>
        <v># 5</v>
      </c>
      <c r="H33" s="234">
        <f>'English LRFD'!Q31</f>
        <v>6.75</v>
      </c>
      <c r="I33" s="234">
        <f>'English LRFD'!R31</f>
        <v>5.75</v>
      </c>
      <c r="J33" s="234">
        <f>'English LRFD'!S31</f>
        <v>6</v>
      </c>
      <c r="K33" s="234">
        <f>'English LRFD'!T31</f>
        <v>6.5</v>
      </c>
      <c r="L33" s="234">
        <f>'English LRFD'!U31</f>
        <v>7</v>
      </c>
      <c r="M33" s="247">
        <f>'English LRFD'!V31</f>
        <v>5.25</v>
      </c>
      <c r="N33" s="246" t="str">
        <f>'English LRFD'!W31</f>
        <v># 4</v>
      </c>
      <c r="O33" s="260">
        <f>'English LRFD'!X31</f>
        <v>13</v>
      </c>
      <c r="P33" s="237">
        <f>'English LRFD'!Y31</f>
        <v>15</v>
      </c>
      <c r="Q33" s="237">
        <f>'English LRFD'!Z31</f>
        <v>14</v>
      </c>
      <c r="R33" s="237">
        <f>'English LRFD'!AA31</f>
        <v>14</v>
      </c>
      <c r="S33" s="237">
        <f>'English LRFD'!AB31</f>
        <v>13</v>
      </c>
      <c r="T33" s="261">
        <f>'English LRFD'!AC31</f>
        <v>16</v>
      </c>
      <c r="W33" s="497" t="str">
        <f>INT('English LRFD'!CI14)&amp;"' - "&amp;INT(('English LRFD'!CI14-INT('English LRFD'!CI14))*12)&amp;""""</f>
        <v>2' - 3"</v>
      </c>
      <c r="X33" s="487" t="str">
        <f>'English LRFD'!CJ14</f>
        <v># 6</v>
      </c>
      <c r="Y33" s="484">
        <f>'English LRFD'!CK14</f>
        <v>12.5</v>
      </c>
      <c r="Z33" s="484">
        <f>'English LRFD'!CL14</f>
        <v>11.75</v>
      </c>
      <c r="AA33" s="484">
        <f>'English LRFD'!CM14</f>
        <v>11.75</v>
      </c>
      <c r="AB33" s="484">
        <f>'English LRFD'!CN14</f>
        <v>12.25</v>
      </c>
      <c r="AC33" s="484">
        <f>'English LRFD'!CO14</f>
        <v>12.5</v>
      </c>
      <c r="AD33" s="485">
        <f>'English LRFD'!CP14</f>
        <v>11.5</v>
      </c>
      <c r="AE33" s="484">
        <f>'English LRFD'!CQ14</f>
        <v>9</v>
      </c>
      <c r="AF33" s="484">
        <f>'English LRFD'!CR14</f>
        <v>8.5</v>
      </c>
      <c r="AG33" s="484">
        <f>'English LRFD'!CS14</f>
        <v>8.75</v>
      </c>
      <c r="AH33" s="484">
        <f>'English LRFD'!CT14</f>
        <v>8.75</v>
      </c>
      <c r="AI33" s="484">
        <f>'English LRFD'!CU14</f>
        <v>9.25</v>
      </c>
      <c r="AJ33" s="485">
        <f>'English LRFD'!CV14</f>
        <v>8.5</v>
      </c>
    </row>
    <row r="34" spans="3:36" x14ac:dyDescent="0.2">
      <c r="C34" s="497" t="str">
        <f>INT('English LRFD'!L32)&amp;"' - "&amp;INT(('English LRFD'!L32-INT('English LRFD'!L32))*12)&amp;""""</f>
        <v>9' - 6"</v>
      </c>
      <c r="D34" s="270">
        <f>'English LRFD'!M32</f>
        <v>8</v>
      </c>
      <c r="E34" s="378" t="str">
        <f>'English LRFD'!N32</f>
        <v># 5</v>
      </c>
      <c r="F34" s="247">
        <f>'English LRFD'!O32</f>
        <v>7.5</v>
      </c>
      <c r="G34" s="378" t="str">
        <f>'English LRFD'!P32</f>
        <v># 5</v>
      </c>
      <c r="H34" s="234">
        <f>'English LRFD'!Q32</f>
        <v>6.5</v>
      </c>
      <c r="I34" s="234">
        <f>'English LRFD'!R32</f>
        <v>5.5</v>
      </c>
      <c r="J34" s="234">
        <f>'English LRFD'!S32</f>
        <v>5.75</v>
      </c>
      <c r="K34" s="234">
        <f>'English LRFD'!T32</f>
        <v>6.25</v>
      </c>
      <c r="L34" s="234">
        <f>'English LRFD'!U32</f>
        <v>6.75</v>
      </c>
      <c r="M34" s="247">
        <f>'English LRFD'!V32</f>
        <v>5</v>
      </c>
      <c r="N34" s="246" t="str">
        <f>'English LRFD'!W32</f>
        <v># 4</v>
      </c>
      <c r="O34" s="260">
        <f>'English LRFD'!X32</f>
        <v>14</v>
      </c>
      <c r="P34" s="237">
        <f>'English LRFD'!Y32</f>
        <v>16</v>
      </c>
      <c r="Q34" s="237">
        <f>'English LRFD'!Z32</f>
        <v>15</v>
      </c>
      <c r="R34" s="237">
        <f>'English LRFD'!AA32</f>
        <v>15</v>
      </c>
      <c r="S34" s="237">
        <f>'English LRFD'!AB32</f>
        <v>13</v>
      </c>
      <c r="T34" s="261">
        <f>'English LRFD'!AC32</f>
        <v>16</v>
      </c>
      <c r="W34" s="497" t="str">
        <f>INT('English LRFD'!CI15)&amp;"' - "&amp;INT(('English LRFD'!CI15-INT('English LRFD'!CI15))*12)&amp;""""</f>
        <v>2' - 6"</v>
      </c>
      <c r="X34" s="487" t="str">
        <f>'English LRFD'!CJ15</f>
        <v># 6</v>
      </c>
      <c r="Y34" s="484">
        <f>'English LRFD'!CK15</f>
        <v>12.25</v>
      </c>
      <c r="Z34" s="484">
        <f>'English LRFD'!CL15</f>
        <v>11.25</v>
      </c>
      <c r="AA34" s="484">
        <f>'English LRFD'!CM15</f>
        <v>11.5</v>
      </c>
      <c r="AB34" s="484">
        <f>'English LRFD'!CN15</f>
        <v>11.75</v>
      </c>
      <c r="AC34" s="484">
        <f>'English LRFD'!CO15</f>
        <v>12.5</v>
      </c>
      <c r="AD34" s="485">
        <f>'English LRFD'!CP15</f>
        <v>11</v>
      </c>
      <c r="AE34" s="484">
        <f>'English LRFD'!CQ15</f>
        <v>9.25</v>
      </c>
      <c r="AF34" s="484">
        <f>'English LRFD'!CR15</f>
        <v>8.75</v>
      </c>
      <c r="AG34" s="484">
        <f>'English LRFD'!CS15</f>
        <v>9</v>
      </c>
      <c r="AH34" s="484">
        <f>'English LRFD'!CT15</f>
        <v>9.25</v>
      </c>
      <c r="AI34" s="484">
        <f>'English LRFD'!CU15</f>
        <v>9.25</v>
      </c>
      <c r="AJ34" s="485">
        <f>'English LRFD'!CV15</f>
        <v>8.75</v>
      </c>
    </row>
    <row r="35" spans="3:36" x14ac:dyDescent="0.2">
      <c r="C35" s="497" t="str">
        <f>INT('English LRFD'!L33)&amp;"' - "&amp;INT(('English LRFD'!L33-INT('English LRFD'!L33))*12)&amp;""""</f>
        <v>9' - 9"</v>
      </c>
      <c r="D35" s="270">
        <f>'English LRFD'!M33</f>
        <v>8</v>
      </c>
      <c r="E35" s="378" t="str">
        <f>'English LRFD'!N33</f>
        <v># 5</v>
      </c>
      <c r="F35" s="247">
        <f>'English LRFD'!O33</f>
        <v>7.25</v>
      </c>
      <c r="G35" s="378" t="str">
        <f>'English LRFD'!P33</f>
        <v># 5</v>
      </c>
      <c r="H35" s="234">
        <f>'English LRFD'!Q33</f>
        <v>6.5</v>
      </c>
      <c r="I35" s="234">
        <f>'English LRFD'!R33</f>
        <v>5.25</v>
      </c>
      <c r="J35" s="234">
        <f>'English LRFD'!S33</f>
        <v>5.5</v>
      </c>
      <c r="K35" s="234">
        <f>'English LRFD'!T33</f>
        <v>6</v>
      </c>
      <c r="L35" s="234">
        <f>'English LRFD'!U33</f>
        <v>6.5</v>
      </c>
      <c r="M35" s="247">
        <f>'English LRFD'!V33</f>
        <v>5</v>
      </c>
      <c r="N35" s="246" t="str">
        <f>'English LRFD'!W33</f>
        <v># 4</v>
      </c>
      <c r="O35" s="260">
        <f>'English LRFD'!X33</f>
        <v>15</v>
      </c>
      <c r="P35" s="237">
        <f>'English LRFD'!Y33</f>
        <v>16</v>
      </c>
      <c r="Q35" s="237">
        <f>'English LRFD'!Z33</f>
        <v>16</v>
      </c>
      <c r="R35" s="237">
        <f>'English LRFD'!AA33</f>
        <v>15</v>
      </c>
      <c r="S35" s="237">
        <f>'English LRFD'!AB33</f>
        <v>14</v>
      </c>
      <c r="T35" s="261">
        <f>'English LRFD'!AC33</f>
        <v>17</v>
      </c>
      <c r="W35" s="497" t="str">
        <f>INT('English LRFD'!CI16)&amp;"' - "&amp;INT(('English LRFD'!CI16-INT('English LRFD'!CI16))*12)&amp;""""</f>
        <v>2' - 9"</v>
      </c>
      <c r="X35" s="487" t="str">
        <f>'English LRFD'!CJ16</f>
        <v># 6</v>
      </c>
      <c r="Y35" s="484">
        <f>'English LRFD'!CK16</f>
        <v>11.75</v>
      </c>
      <c r="Z35" s="484">
        <f>'English LRFD'!CL16</f>
        <v>10.75</v>
      </c>
      <c r="AA35" s="484">
        <f>'English LRFD'!CM16</f>
        <v>11</v>
      </c>
      <c r="AB35" s="484">
        <f>'English LRFD'!CN16</f>
        <v>11.5</v>
      </c>
      <c r="AC35" s="484">
        <f>'English LRFD'!CO16</f>
        <v>12.25</v>
      </c>
      <c r="AD35" s="485">
        <f>'English LRFD'!CP16</f>
        <v>10.75</v>
      </c>
      <c r="AE35" s="484">
        <f>'English LRFD'!CQ16</f>
        <v>9.25</v>
      </c>
      <c r="AF35" s="484">
        <f>'English LRFD'!CR16</f>
        <v>9</v>
      </c>
      <c r="AG35" s="484">
        <f>'English LRFD'!CS16</f>
        <v>9.25</v>
      </c>
      <c r="AH35" s="484">
        <f>'English LRFD'!CT16</f>
        <v>9.25</v>
      </c>
      <c r="AI35" s="484">
        <f>'English LRFD'!CU16</f>
        <v>9.25</v>
      </c>
      <c r="AJ35" s="485">
        <f>'English LRFD'!CV16</f>
        <v>9</v>
      </c>
    </row>
    <row r="36" spans="3:36" x14ac:dyDescent="0.2">
      <c r="C36" s="497" t="str">
        <f>INT('English LRFD'!L34)&amp;"' - "&amp;INT(('English LRFD'!L34-INT('English LRFD'!L34))*12)&amp;""""</f>
        <v>10' - 0"</v>
      </c>
      <c r="D36" s="270">
        <f>'English LRFD'!M34</f>
        <v>8.25</v>
      </c>
      <c r="E36" s="378" t="str">
        <f>'English LRFD'!N34</f>
        <v># 5</v>
      </c>
      <c r="F36" s="247">
        <f>'English LRFD'!O34</f>
        <v>7.25</v>
      </c>
      <c r="G36" s="378" t="str">
        <f>'English LRFD'!P34</f>
        <v># 5</v>
      </c>
      <c r="H36" s="234">
        <f>'English LRFD'!Q34</f>
        <v>6.5</v>
      </c>
      <c r="I36" s="234">
        <f>'English LRFD'!R34</f>
        <v>5.25</v>
      </c>
      <c r="J36" s="234">
        <f>'English LRFD'!S34</f>
        <v>5.5</v>
      </c>
      <c r="K36" s="234">
        <f>'English LRFD'!T34</f>
        <v>6</v>
      </c>
      <c r="L36" s="234">
        <f>'English LRFD'!U34</f>
        <v>6.5</v>
      </c>
      <c r="M36" s="247">
        <f>'English LRFD'!V34</f>
        <v>5</v>
      </c>
      <c r="N36" s="246" t="str">
        <f>'English LRFD'!W34</f>
        <v># 4</v>
      </c>
      <c r="O36" s="260">
        <f>'English LRFD'!X34</f>
        <v>15</v>
      </c>
      <c r="P36" s="237">
        <f>'English LRFD'!Y34</f>
        <v>17</v>
      </c>
      <c r="Q36" s="237">
        <f>'English LRFD'!Z34</f>
        <v>16</v>
      </c>
      <c r="R36" s="237">
        <f>'English LRFD'!AA34</f>
        <v>16</v>
      </c>
      <c r="S36" s="237">
        <f>'English LRFD'!AB34</f>
        <v>14</v>
      </c>
      <c r="T36" s="261">
        <f>'English LRFD'!AC34</f>
        <v>17</v>
      </c>
      <c r="W36" s="497" t="str">
        <f>INT('English LRFD'!CI17)&amp;"' - "&amp;INT(('English LRFD'!CI17-INT('English LRFD'!CI17))*12)&amp;""""</f>
        <v>3' - 0"</v>
      </c>
      <c r="X36" s="487" t="str">
        <f>'English LRFD'!CJ17</f>
        <v># 6</v>
      </c>
      <c r="Y36" s="484">
        <f>'English LRFD'!CK17</f>
        <v>11.25</v>
      </c>
      <c r="Z36" s="484">
        <f>'English LRFD'!CL17</f>
        <v>10.5</v>
      </c>
      <c r="AA36" s="484">
        <f>'English LRFD'!CM17</f>
        <v>10.75</v>
      </c>
      <c r="AB36" s="484">
        <f>'English LRFD'!CN17</f>
        <v>11</v>
      </c>
      <c r="AC36" s="484">
        <f>'English LRFD'!CO17</f>
        <v>11.75</v>
      </c>
      <c r="AD36" s="485">
        <f>'English LRFD'!CP17</f>
        <v>10.25</v>
      </c>
      <c r="AE36" s="484">
        <f>'English LRFD'!CQ17</f>
        <v>9.25</v>
      </c>
      <c r="AF36" s="484">
        <f>'English LRFD'!CR17</f>
        <v>9.25</v>
      </c>
      <c r="AG36" s="484">
        <f>'English LRFD'!CS17</f>
        <v>9.25</v>
      </c>
      <c r="AH36" s="484">
        <f>'English LRFD'!CT17</f>
        <v>9.25</v>
      </c>
      <c r="AI36" s="484">
        <f>'English LRFD'!CU17</f>
        <v>9.25</v>
      </c>
      <c r="AJ36" s="485">
        <f>'English LRFD'!CV17</f>
        <v>9</v>
      </c>
    </row>
    <row r="37" spans="3:36" x14ac:dyDescent="0.2">
      <c r="C37" s="497" t="str">
        <f>INT('English LRFD'!L35)&amp;"' - "&amp;INT(('English LRFD'!L35-INT('English LRFD'!L35))*12)&amp;""""</f>
        <v>10' - 3"</v>
      </c>
      <c r="D37" s="270">
        <f>'English LRFD'!M35</f>
        <v>8.25</v>
      </c>
      <c r="E37" s="378" t="str">
        <f>'English LRFD'!N35</f>
        <v># 5</v>
      </c>
      <c r="F37" s="247">
        <f>'English LRFD'!O35</f>
        <v>7.25</v>
      </c>
      <c r="G37" s="378" t="str">
        <f>'English LRFD'!P35</f>
        <v># 5</v>
      </c>
      <c r="H37" s="234">
        <f>'English LRFD'!Q35</f>
        <v>6.25</v>
      </c>
      <c r="I37" s="234">
        <f>'English LRFD'!R35</f>
        <v>5</v>
      </c>
      <c r="J37" s="234">
        <f>'English LRFD'!S35</f>
        <v>5.25</v>
      </c>
      <c r="K37" s="234">
        <f>'English LRFD'!T35</f>
        <v>5.75</v>
      </c>
      <c r="L37" s="234">
        <f>'English LRFD'!U35</f>
        <v>6.25</v>
      </c>
      <c r="M37" s="247">
        <f>'English LRFD'!V35</f>
        <v>4.75</v>
      </c>
      <c r="N37" s="246" t="str">
        <f>'English LRFD'!W35</f>
        <v># 4</v>
      </c>
      <c r="O37" s="260">
        <f>'English LRFD'!X35</f>
        <v>16</v>
      </c>
      <c r="P37" s="237">
        <f>'English LRFD'!Y35</f>
        <v>17</v>
      </c>
      <c r="Q37" s="237">
        <f>'English LRFD'!Z35</f>
        <v>17</v>
      </c>
      <c r="R37" s="237">
        <f>'English LRFD'!AA35</f>
        <v>16</v>
      </c>
      <c r="S37" s="237">
        <f>'English LRFD'!AB35</f>
        <v>15</v>
      </c>
      <c r="T37" s="261">
        <f>'English LRFD'!AC35</f>
        <v>18</v>
      </c>
      <c r="W37" s="497" t="str">
        <f>INT('English LRFD'!CI18)&amp;"' - "&amp;INT(('English LRFD'!CI18-INT('English LRFD'!CI18))*12)&amp;""""</f>
        <v>3' - 3"</v>
      </c>
      <c r="X37" s="487" t="str">
        <f>'English LRFD'!CJ18</f>
        <v># 6</v>
      </c>
      <c r="Y37" s="484">
        <f>'English LRFD'!CK18</f>
        <v>11</v>
      </c>
      <c r="Z37" s="484">
        <f>'English LRFD'!CL18</f>
        <v>10.25</v>
      </c>
      <c r="AA37" s="484">
        <f>'English LRFD'!CM18</f>
        <v>10.25</v>
      </c>
      <c r="AB37" s="484">
        <f>'English LRFD'!CN18</f>
        <v>10.75</v>
      </c>
      <c r="AC37" s="484">
        <f>'English LRFD'!CO18</f>
        <v>11.5</v>
      </c>
      <c r="AD37" s="485">
        <f>'English LRFD'!CP18</f>
        <v>10</v>
      </c>
      <c r="AE37" s="484">
        <f>'English LRFD'!CQ18</f>
        <v>9.25</v>
      </c>
      <c r="AF37" s="484">
        <f>'English LRFD'!CR18</f>
        <v>9.25</v>
      </c>
      <c r="AG37" s="484">
        <f>'English LRFD'!CS18</f>
        <v>9.25</v>
      </c>
      <c r="AH37" s="484">
        <f>'English LRFD'!CT18</f>
        <v>9.25</v>
      </c>
      <c r="AI37" s="484">
        <f>'English LRFD'!CU18</f>
        <v>9.25</v>
      </c>
      <c r="AJ37" s="485">
        <f>'English LRFD'!CV18</f>
        <v>9.25</v>
      </c>
    </row>
    <row r="38" spans="3:36" x14ac:dyDescent="0.2">
      <c r="C38" s="497" t="str">
        <f>INT('English LRFD'!L36)&amp;"' - "&amp;INT(('English LRFD'!L36-INT('English LRFD'!L36))*12)&amp;""""</f>
        <v>10' - 6"</v>
      </c>
      <c r="D38" s="270">
        <f>'English LRFD'!M36</f>
        <v>8.25</v>
      </c>
      <c r="E38" s="378" t="str">
        <f>'English LRFD'!N36</f>
        <v># 5</v>
      </c>
      <c r="F38" s="247">
        <f>'English LRFD'!O36</f>
        <v>7</v>
      </c>
      <c r="G38" s="378" t="str">
        <f>'English LRFD'!P36</f>
        <v># 5</v>
      </c>
      <c r="H38" s="234">
        <f>'English LRFD'!Q36</f>
        <v>6</v>
      </c>
      <c r="I38" s="234">
        <f>'English LRFD'!R36</f>
        <v>5</v>
      </c>
      <c r="J38" s="234">
        <f>'English LRFD'!S36</f>
        <v>5</v>
      </c>
      <c r="K38" s="234">
        <f>'English LRFD'!T36</f>
        <v>5.5</v>
      </c>
      <c r="L38" s="234">
        <f>'English LRFD'!U36</f>
        <v>6.25</v>
      </c>
      <c r="M38" s="247">
        <f>'English LRFD'!V36</f>
        <v>4.75</v>
      </c>
      <c r="N38" s="246" t="str">
        <f>'English LRFD'!W36</f>
        <v># 4</v>
      </c>
      <c r="O38" s="260">
        <f>'English LRFD'!X36</f>
        <v>17</v>
      </c>
      <c r="P38" s="237">
        <f>'English LRFD'!Y36</f>
        <v>18</v>
      </c>
      <c r="Q38" s="237">
        <f>'English LRFD'!Z36</f>
        <v>18</v>
      </c>
      <c r="R38" s="237">
        <f>'English LRFD'!AA36</f>
        <v>17</v>
      </c>
      <c r="S38" s="237">
        <f>'English LRFD'!AB36</f>
        <v>16</v>
      </c>
      <c r="T38" s="261">
        <f>'English LRFD'!AC36</f>
        <v>19</v>
      </c>
      <c r="W38" s="497" t="str">
        <f>INT('English LRFD'!CI19)&amp;"' - "&amp;INT(('English LRFD'!CI19-INT('English LRFD'!CI19))*12)&amp;""""</f>
        <v>3' - 6"</v>
      </c>
      <c r="X38" s="487" t="str">
        <f>'English LRFD'!CJ19</f>
        <v># 6</v>
      </c>
      <c r="Y38" s="484">
        <f>'English LRFD'!CK19</f>
        <v>10.5</v>
      </c>
      <c r="Z38" s="484">
        <f>'English LRFD'!CL19</f>
        <v>9.75</v>
      </c>
      <c r="AA38" s="484">
        <f>'English LRFD'!CM19</f>
        <v>10</v>
      </c>
      <c r="AB38" s="484">
        <f>'English LRFD'!CN19</f>
        <v>10.25</v>
      </c>
      <c r="AC38" s="484">
        <f>'English LRFD'!CO19</f>
        <v>11</v>
      </c>
      <c r="AD38" s="485">
        <f>'English LRFD'!CP19</f>
        <v>9.75</v>
      </c>
      <c r="AE38" s="484">
        <f>'English LRFD'!CQ19</f>
        <v>9.25</v>
      </c>
      <c r="AF38" s="484">
        <f>'English LRFD'!CR19</f>
        <v>9.25</v>
      </c>
      <c r="AG38" s="484">
        <f>'English LRFD'!CS19</f>
        <v>9.25</v>
      </c>
      <c r="AH38" s="484">
        <f>'English LRFD'!CT19</f>
        <v>9.25</v>
      </c>
      <c r="AI38" s="484">
        <f>'English LRFD'!CU19</f>
        <v>9.25</v>
      </c>
      <c r="AJ38" s="485">
        <f>'English LRFD'!CV19</f>
        <v>9.25</v>
      </c>
    </row>
    <row r="39" spans="3:36" x14ac:dyDescent="0.2">
      <c r="C39" s="497" t="str">
        <f>INT('English LRFD'!L37)&amp;"' - "&amp;INT(('English LRFD'!L37-INT('English LRFD'!L37))*12)&amp;""""</f>
        <v>10' - 9"</v>
      </c>
      <c r="D39" s="270">
        <f>'English LRFD'!M37</f>
        <v>8.25</v>
      </c>
      <c r="E39" s="378" t="str">
        <f>'English LRFD'!N37</f>
        <v># 6</v>
      </c>
      <c r="F39" s="247">
        <f>'English LRFD'!O37</f>
        <v>9.5</v>
      </c>
      <c r="G39" s="378" t="str">
        <f>'English LRFD'!P37</f>
        <v># 6</v>
      </c>
      <c r="H39" s="234">
        <f>'English LRFD'!Q37</f>
        <v>7</v>
      </c>
      <c r="I39" s="234">
        <f>'English LRFD'!R37</f>
        <v>6</v>
      </c>
      <c r="J39" s="234">
        <f>'English LRFD'!S37</f>
        <v>6</v>
      </c>
      <c r="K39" s="234">
        <f>'English LRFD'!T37</f>
        <v>6.75</v>
      </c>
      <c r="L39" s="234">
        <f>'English LRFD'!U37</f>
        <v>7.25</v>
      </c>
      <c r="M39" s="247">
        <f>'English LRFD'!V37</f>
        <v>5.5</v>
      </c>
      <c r="N39" s="246" t="str">
        <f>'English LRFD'!W37</f>
        <v># 5</v>
      </c>
      <c r="O39" s="260">
        <f>'English LRFD'!X37</f>
        <v>12</v>
      </c>
      <c r="P39" s="237">
        <f>'English LRFD'!Y37</f>
        <v>13</v>
      </c>
      <c r="Q39" s="237">
        <f>'English LRFD'!Z37</f>
        <v>13</v>
      </c>
      <c r="R39" s="237">
        <f>'English LRFD'!AA37</f>
        <v>12</v>
      </c>
      <c r="S39" s="237">
        <f>'English LRFD'!AB37</f>
        <v>11</v>
      </c>
      <c r="T39" s="261">
        <f>'English LRFD'!AC37</f>
        <v>14</v>
      </c>
      <c r="W39" s="497" t="str">
        <f>INT('English LRFD'!CI20)&amp;"' - "&amp;INT(('English LRFD'!CI20-INT('English LRFD'!CI20))*12)&amp;""""</f>
        <v>3' - 9"</v>
      </c>
      <c r="X39" s="487" t="str">
        <f>'English LRFD'!CJ20</f>
        <v># 6</v>
      </c>
      <c r="Y39" s="484">
        <f>'English LRFD'!CK20</f>
        <v>10.25</v>
      </c>
      <c r="Z39" s="484">
        <f>'English LRFD'!CL20</f>
        <v>9.5</v>
      </c>
      <c r="AA39" s="484">
        <f>'English LRFD'!CM20</f>
        <v>9.5</v>
      </c>
      <c r="AB39" s="484">
        <f>'English LRFD'!CN20</f>
        <v>10</v>
      </c>
      <c r="AC39" s="484">
        <f>'English LRFD'!CO20</f>
        <v>10.75</v>
      </c>
      <c r="AD39" s="485">
        <f>'English LRFD'!CP20</f>
        <v>9.25</v>
      </c>
      <c r="AE39" s="484">
        <f>'English LRFD'!CQ20</f>
        <v>9.25</v>
      </c>
      <c r="AF39" s="484">
        <f>'English LRFD'!CR20</f>
        <v>9.25</v>
      </c>
      <c r="AG39" s="484">
        <f>'English LRFD'!CS20</f>
        <v>9.25</v>
      </c>
      <c r="AH39" s="484">
        <f>'English LRFD'!CT20</f>
        <v>9.25</v>
      </c>
      <c r="AI39" s="484">
        <f>'English LRFD'!CU20</f>
        <v>9.25</v>
      </c>
      <c r="AJ39" s="485">
        <f>'English LRFD'!CV20</f>
        <v>9.25</v>
      </c>
    </row>
    <row r="40" spans="3:36" x14ac:dyDescent="0.2">
      <c r="C40" s="497" t="str">
        <f>INT('English LRFD'!L38)&amp;"' - "&amp;INT(('English LRFD'!L38-INT('English LRFD'!L38))*12)&amp;""""</f>
        <v>11' - 0"</v>
      </c>
      <c r="D40" s="270">
        <f>'English LRFD'!M38</f>
        <v>9</v>
      </c>
      <c r="E40" s="378" t="str">
        <f>'English LRFD'!N38</f>
        <v># 6</v>
      </c>
      <c r="F40" s="247">
        <f>'English LRFD'!O38</f>
        <v>10</v>
      </c>
      <c r="G40" s="378" t="str">
        <f>'English LRFD'!P38</f>
        <v># 6</v>
      </c>
      <c r="H40" s="234">
        <f>'English LRFD'!Q38</f>
        <v>7.75</v>
      </c>
      <c r="I40" s="234">
        <f>'English LRFD'!R38</f>
        <v>6.5</v>
      </c>
      <c r="J40" s="234">
        <f>'English LRFD'!S38</f>
        <v>6.75</v>
      </c>
      <c r="K40" s="234">
        <f>'English LRFD'!T38</f>
        <v>7.25</v>
      </c>
      <c r="L40" s="234">
        <f>'English LRFD'!U38</f>
        <v>8</v>
      </c>
      <c r="M40" s="247">
        <f>'English LRFD'!V38</f>
        <v>6.25</v>
      </c>
      <c r="N40" s="246" t="str">
        <f>'English LRFD'!W38</f>
        <v># 5</v>
      </c>
      <c r="O40" s="260">
        <f>'English LRFD'!X38</f>
        <v>11</v>
      </c>
      <c r="P40" s="237">
        <f>'English LRFD'!Y38</f>
        <v>12</v>
      </c>
      <c r="Q40" s="237">
        <f>'English LRFD'!Z38</f>
        <v>12</v>
      </c>
      <c r="R40" s="237">
        <f>'English LRFD'!AA38</f>
        <v>12</v>
      </c>
      <c r="S40" s="237">
        <f>'English LRFD'!AB38</f>
        <v>11</v>
      </c>
      <c r="T40" s="261">
        <f>'English LRFD'!AC38</f>
        <v>13</v>
      </c>
      <c r="W40" s="497" t="str">
        <f>INT('English LRFD'!CI21)&amp;"' - "&amp;INT(('English LRFD'!CI21-INT('English LRFD'!CI21))*12)&amp;""""</f>
        <v>4' - 0"</v>
      </c>
      <c r="X40" s="487" t="str">
        <f>'English LRFD'!CJ21</f>
        <v># 6</v>
      </c>
      <c r="Y40" s="484">
        <f>'English LRFD'!CK21</f>
        <v>10</v>
      </c>
      <c r="Z40" s="484">
        <f>'English LRFD'!CL21</f>
        <v>9.25</v>
      </c>
      <c r="AA40" s="484">
        <f>'English LRFD'!CM21</f>
        <v>9.25</v>
      </c>
      <c r="AB40" s="484">
        <f>'English LRFD'!CN21</f>
        <v>9.75</v>
      </c>
      <c r="AC40" s="484">
        <f>'English LRFD'!CO21</f>
        <v>10.25</v>
      </c>
      <c r="AD40" s="485">
        <f>'English LRFD'!CP21</f>
        <v>9</v>
      </c>
      <c r="AE40" s="484">
        <f>'English LRFD'!CQ21</f>
        <v>9.25</v>
      </c>
      <c r="AF40" s="484">
        <f>'English LRFD'!CR21</f>
        <v>9</v>
      </c>
      <c r="AG40" s="484">
        <f>'English LRFD'!CS21</f>
        <v>9.25</v>
      </c>
      <c r="AH40" s="484">
        <f>'English LRFD'!CT21</f>
        <v>9.25</v>
      </c>
      <c r="AI40" s="484">
        <f>'English LRFD'!CU21</f>
        <v>9.25</v>
      </c>
      <c r="AJ40" s="485">
        <f>'English LRFD'!CV21</f>
        <v>9</v>
      </c>
    </row>
    <row r="41" spans="3:36" x14ac:dyDescent="0.2">
      <c r="C41" s="497" t="str">
        <f>INT('English LRFD'!L39)&amp;"' - "&amp;INT(('English LRFD'!L39-INT('English LRFD'!L39))*12)&amp;""""</f>
        <v>11' - 3"</v>
      </c>
      <c r="D41" s="270">
        <f>'English LRFD'!M39</f>
        <v>9</v>
      </c>
      <c r="E41" s="378" t="str">
        <f>'English LRFD'!N39</f>
        <v># 6</v>
      </c>
      <c r="F41" s="247">
        <f>'English LRFD'!O39</f>
        <v>9.75</v>
      </c>
      <c r="G41" s="378" t="str">
        <f>'English LRFD'!P39</f>
        <v># 6</v>
      </c>
      <c r="H41" s="234">
        <f>'English LRFD'!Q39</f>
        <v>7.5</v>
      </c>
      <c r="I41" s="234">
        <f>'English LRFD'!R39</f>
        <v>6.25</v>
      </c>
      <c r="J41" s="234">
        <f>'English LRFD'!S39</f>
        <v>6.5</v>
      </c>
      <c r="K41" s="234">
        <f>'English LRFD'!T39</f>
        <v>7</v>
      </c>
      <c r="L41" s="234">
        <f>'English LRFD'!U39</f>
        <v>7.75</v>
      </c>
      <c r="M41" s="247">
        <f>'English LRFD'!V39</f>
        <v>6</v>
      </c>
      <c r="N41" s="246" t="str">
        <f>'English LRFD'!W39</f>
        <v># 5</v>
      </c>
      <c r="O41" s="260">
        <f>'English LRFD'!X39</f>
        <v>12</v>
      </c>
      <c r="P41" s="237">
        <f>'English LRFD'!Y39</f>
        <v>13</v>
      </c>
      <c r="Q41" s="237">
        <f>'English LRFD'!Z39</f>
        <v>13</v>
      </c>
      <c r="R41" s="237">
        <f>'English LRFD'!AA39</f>
        <v>12</v>
      </c>
      <c r="S41" s="237">
        <f>'English LRFD'!AB39</f>
        <v>11</v>
      </c>
      <c r="T41" s="261">
        <f>'English LRFD'!AC39</f>
        <v>13</v>
      </c>
      <c r="W41" s="497" t="str">
        <f>INT('English LRFD'!CI22)&amp;"' - "&amp;INT(('English LRFD'!CI22-INT('English LRFD'!CI22))*12)&amp;""""</f>
        <v>4' - 3"</v>
      </c>
      <c r="X41" s="487" t="str">
        <f>'English LRFD'!CJ22</f>
        <v># 6</v>
      </c>
      <c r="Y41" s="484">
        <f>'English LRFD'!CK22</f>
        <v>9.5</v>
      </c>
      <c r="Z41" s="484">
        <f>'English LRFD'!CL22</f>
        <v>8.75</v>
      </c>
      <c r="AA41" s="484">
        <f>'English LRFD'!CM22</f>
        <v>9</v>
      </c>
      <c r="AB41" s="484">
        <f>'English LRFD'!CN22</f>
        <v>9.25</v>
      </c>
      <c r="AC41" s="484">
        <f>'English LRFD'!CO22</f>
        <v>10</v>
      </c>
      <c r="AD41" s="485">
        <f>'English LRFD'!CP22</f>
        <v>8.75</v>
      </c>
      <c r="AE41" s="484">
        <f>'English LRFD'!CQ22</f>
        <v>9.25</v>
      </c>
      <c r="AF41" s="484">
        <f>'English LRFD'!CR22</f>
        <v>8.75</v>
      </c>
      <c r="AG41" s="484">
        <f>'English LRFD'!CS22</f>
        <v>9</v>
      </c>
      <c r="AH41" s="484">
        <f>'English LRFD'!CT22</f>
        <v>9.25</v>
      </c>
      <c r="AI41" s="484">
        <f>'English LRFD'!CU22</f>
        <v>9.25</v>
      </c>
      <c r="AJ41" s="485">
        <f>'English LRFD'!CV22</f>
        <v>8.75</v>
      </c>
    </row>
    <row r="42" spans="3:36" x14ac:dyDescent="0.2">
      <c r="C42" s="497" t="str">
        <f>INT('English LRFD'!L40)&amp;"' - "&amp;INT(('English LRFD'!L40-INT('English LRFD'!L40))*12)&amp;""""</f>
        <v>11' - 6"</v>
      </c>
      <c r="D42" s="270">
        <f>'English LRFD'!M40</f>
        <v>9</v>
      </c>
      <c r="E42" s="378" t="str">
        <f>'English LRFD'!N40</f>
        <v># 6</v>
      </c>
      <c r="F42" s="247">
        <f>'English LRFD'!O40</f>
        <v>9.75</v>
      </c>
      <c r="G42" s="378" t="str">
        <f>'English LRFD'!P40</f>
        <v># 6</v>
      </c>
      <c r="H42" s="234">
        <f>'English LRFD'!Q40</f>
        <v>7.25</v>
      </c>
      <c r="I42" s="234">
        <f>'English LRFD'!R40</f>
        <v>6.25</v>
      </c>
      <c r="J42" s="234">
        <f>'English LRFD'!S40</f>
        <v>6.25</v>
      </c>
      <c r="K42" s="234">
        <f>'English LRFD'!T40</f>
        <v>6.75</v>
      </c>
      <c r="L42" s="234">
        <f>'English LRFD'!U40</f>
        <v>7.5</v>
      </c>
      <c r="M42" s="247">
        <f>'English LRFD'!V40</f>
        <v>6</v>
      </c>
      <c r="N42" s="246" t="str">
        <f>'English LRFD'!W40</f>
        <v># 5</v>
      </c>
      <c r="O42" s="260">
        <f>'English LRFD'!X40</f>
        <v>12</v>
      </c>
      <c r="P42" s="237">
        <f>'English LRFD'!Y40</f>
        <v>13</v>
      </c>
      <c r="Q42" s="237">
        <f>'English LRFD'!Z40</f>
        <v>13</v>
      </c>
      <c r="R42" s="237">
        <f>'English LRFD'!AA40</f>
        <v>13</v>
      </c>
      <c r="S42" s="237">
        <f>'English LRFD'!AB40</f>
        <v>12</v>
      </c>
      <c r="T42" s="261">
        <f>'English LRFD'!AC40</f>
        <v>14</v>
      </c>
      <c r="W42" s="497" t="str">
        <f>INT('English LRFD'!CI23)&amp;"' - "&amp;INT(('English LRFD'!CI23-INT('English LRFD'!CI23))*12)&amp;""""</f>
        <v>4' - 6"</v>
      </c>
      <c r="X42" s="487" t="str">
        <f>'English LRFD'!CJ23</f>
        <v># 6</v>
      </c>
      <c r="Y42" s="484">
        <f>'English LRFD'!CK23</f>
        <v>9.25</v>
      </c>
      <c r="Z42" s="484">
        <f>'English LRFD'!CL23</f>
        <v>8.5</v>
      </c>
      <c r="AA42" s="484">
        <f>'English LRFD'!CM23</f>
        <v>8.75</v>
      </c>
      <c r="AB42" s="484">
        <f>'English LRFD'!CN23</f>
        <v>9</v>
      </c>
      <c r="AC42" s="484">
        <f>'English LRFD'!CO23</f>
        <v>9.75</v>
      </c>
      <c r="AD42" s="485">
        <f>'English LRFD'!CP23</f>
        <v>8.5</v>
      </c>
      <c r="AE42" s="484">
        <f>'English LRFD'!CQ23</f>
        <v>9.25</v>
      </c>
      <c r="AF42" s="484">
        <f>'English LRFD'!CR23</f>
        <v>8.5</v>
      </c>
      <c r="AG42" s="484">
        <f>'English LRFD'!CS23</f>
        <v>8.75</v>
      </c>
      <c r="AH42" s="484">
        <f>'English LRFD'!CT23</f>
        <v>9</v>
      </c>
      <c r="AI42" s="484">
        <f>'English LRFD'!CU23</f>
        <v>9.25</v>
      </c>
      <c r="AJ42" s="485">
        <f>'English LRFD'!CV23</f>
        <v>8.5</v>
      </c>
    </row>
    <row r="43" spans="3:36" x14ac:dyDescent="0.2">
      <c r="C43" s="497" t="str">
        <f>INT('English LRFD'!L41)&amp;"' - "&amp;INT(('English LRFD'!L41-INT('English LRFD'!L41))*12)&amp;""""</f>
        <v>11' - 9"</v>
      </c>
      <c r="D43" s="270">
        <f>'English LRFD'!M41</f>
        <v>9</v>
      </c>
      <c r="E43" s="378" t="str">
        <f>'English LRFD'!N41</f>
        <v># 6</v>
      </c>
      <c r="F43" s="247">
        <f>'English LRFD'!O41</f>
        <v>9.5</v>
      </c>
      <c r="G43" s="378" t="str">
        <f>'English LRFD'!P41</f>
        <v># 6</v>
      </c>
      <c r="H43" s="234">
        <f>'English LRFD'!Q41</f>
        <v>7</v>
      </c>
      <c r="I43" s="234">
        <f>'English LRFD'!R41</f>
        <v>6</v>
      </c>
      <c r="J43" s="234">
        <f>'English LRFD'!S41</f>
        <v>6.25</v>
      </c>
      <c r="K43" s="234">
        <f>'English LRFD'!T41</f>
        <v>6.75</v>
      </c>
      <c r="L43" s="234">
        <f>'English LRFD'!U41</f>
        <v>7.25</v>
      </c>
      <c r="M43" s="247">
        <f>'English LRFD'!V41</f>
        <v>5.75</v>
      </c>
      <c r="N43" s="246" t="str">
        <f>'English LRFD'!W41</f>
        <v># 5</v>
      </c>
      <c r="O43" s="260">
        <f>'English LRFD'!X41</f>
        <v>13</v>
      </c>
      <c r="P43" s="237">
        <f>'English LRFD'!Y41</f>
        <v>14</v>
      </c>
      <c r="Q43" s="237">
        <f>'English LRFD'!Z41</f>
        <v>14</v>
      </c>
      <c r="R43" s="237">
        <f>'English LRFD'!AA41</f>
        <v>13</v>
      </c>
      <c r="S43" s="237">
        <f>'English LRFD'!AB41</f>
        <v>12</v>
      </c>
      <c r="T43" s="261">
        <f>'English LRFD'!AC41</f>
        <v>14</v>
      </c>
      <c r="W43" s="497" t="str">
        <f>INT('English LRFD'!CI24)&amp;"' - "&amp;INT(('English LRFD'!CI24-INT('English LRFD'!CI24))*12)&amp;""""</f>
        <v>4' - 9"</v>
      </c>
      <c r="X43" s="487" t="str">
        <f>'English LRFD'!CJ24</f>
        <v># 6</v>
      </c>
      <c r="Y43" s="484">
        <f>'English LRFD'!CK24</f>
        <v>9</v>
      </c>
      <c r="Z43" s="484">
        <f>'English LRFD'!CL24</f>
        <v>8.25</v>
      </c>
      <c r="AA43" s="484">
        <f>'English LRFD'!CM24</f>
        <v>8.5</v>
      </c>
      <c r="AB43" s="484">
        <f>'English LRFD'!CN24</f>
        <v>8.75</v>
      </c>
      <c r="AC43" s="484">
        <f>'English LRFD'!CO24</f>
        <v>9.25</v>
      </c>
      <c r="AD43" s="485">
        <f>'English LRFD'!CP24</f>
        <v>8.25</v>
      </c>
      <c r="AE43" s="484">
        <f>'English LRFD'!CQ24</f>
        <v>9</v>
      </c>
      <c r="AF43" s="484">
        <f>'English LRFD'!CR24</f>
        <v>8.25</v>
      </c>
      <c r="AG43" s="484">
        <f>'English LRFD'!CS24</f>
        <v>8.5</v>
      </c>
      <c r="AH43" s="484">
        <f>'English LRFD'!CT24</f>
        <v>8.75</v>
      </c>
      <c r="AI43" s="484">
        <f>'English LRFD'!CU24</f>
        <v>9.25</v>
      </c>
      <c r="AJ43" s="485">
        <f>'English LRFD'!CV24</f>
        <v>8.25</v>
      </c>
    </row>
    <row r="44" spans="3:36" x14ac:dyDescent="0.2">
      <c r="C44" s="497" t="str">
        <f>INT('English LRFD'!L42)&amp;"' - "&amp;INT(('English LRFD'!L42-INT('English LRFD'!L42))*12)&amp;""""</f>
        <v>12' - 0"</v>
      </c>
      <c r="D44" s="270">
        <f>'English LRFD'!M42</f>
        <v>9</v>
      </c>
      <c r="E44" s="378" t="str">
        <f>'English LRFD'!N42</f>
        <v># 6</v>
      </c>
      <c r="F44" s="247">
        <f>'English LRFD'!O42</f>
        <v>9.5</v>
      </c>
      <c r="G44" s="378" t="str">
        <f>'English LRFD'!P42</f>
        <v># 6</v>
      </c>
      <c r="H44" s="234">
        <f>'English LRFD'!Q42</f>
        <v>6.75</v>
      </c>
      <c r="I44" s="234">
        <f>'English LRFD'!R42</f>
        <v>5.75</v>
      </c>
      <c r="J44" s="234">
        <f>'English LRFD'!S42</f>
        <v>6</v>
      </c>
      <c r="K44" s="234">
        <f>'English LRFD'!T42</f>
        <v>6.5</v>
      </c>
      <c r="L44" s="234">
        <f>'English LRFD'!U42</f>
        <v>7</v>
      </c>
      <c r="M44" s="247">
        <f>'English LRFD'!V42</f>
        <v>5.5</v>
      </c>
      <c r="N44" s="246" t="str">
        <f>'English LRFD'!W42</f>
        <v># 5</v>
      </c>
      <c r="O44" s="260">
        <f>'English LRFD'!X42</f>
        <v>13</v>
      </c>
      <c r="P44" s="237">
        <f>'English LRFD'!Y42</f>
        <v>14</v>
      </c>
      <c r="Q44" s="237">
        <f>'English LRFD'!Z42</f>
        <v>14</v>
      </c>
      <c r="R44" s="237">
        <f>'English LRFD'!AA42</f>
        <v>14</v>
      </c>
      <c r="S44" s="237">
        <f>'English LRFD'!AB42</f>
        <v>13</v>
      </c>
      <c r="T44" s="261">
        <f>'English LRFD'!AC42</f>
        <v>15</v>
      </c>
      <c r="W44" s="497" t="str">
        <f>INT('English LRFD'!CI25)&amp;"' - "&amp;INT(('English LRFD'!CI25-INT('English LRFD'!CI25))*12)&amp;""""</f>
        <v>5' - 0"</v>
      </c>
      <c r="X44" s="487" t="str">
        <f>'English LRFD'!CJ25</f>
        <v># 6</v>
      </c>
      <c r="Y44" s="484">
        <f>'English LRFD'!CK25</f>
        <v>8.75</v>
      </c>
      <c r="Z44" s="484">
        <f>'English LRFD'!CL25</f>
        <v>8</v>
      </c>
      <c r="AA44" s="484">
        <f>'English LRFD'!CM25</f>
        <v>8.25</v>
      </c>
      <c r="AB44" s="484">
        <f>'English LRFD'!CN25</f>
        <v>8.5</v>
      </c>
      <c r="AC44" s="484">
        <f>'English LRFD'!CO25</f>
        <v>9</v>
      </c>
      <c r="AD44" s="485">
        <f>'English LRFD'!CP25</f>
        <v>8</v>
      </c>
      <c r="AE44" s="484">
        <f>'English LRFD'!CQ25</f>
        <v>8.75</v>
      </c>
      <c r="AF44" s="484">
        <f>'English LRFD'!CR25</f>
        <v>8</v>
      </c>
      <c r="AG44" s="484">
        <f>'English LRFD'!CS25</f>
        <v>8.25</v>
      </c>
      <c r="AH44" s="484">
        <f>'English LRFD'!CT25</f>
        <v>8.5</v>
      </c>
      <c r="AI44" s="484">
        <f>'English LRFD'!CU25</f>
        <v>9</v>
      </c>
      <c r="AJ44" s="485">
        <f>'English LRFD'!CV25</f>
        <v>8</v>
      </c>
    </row>
    <row r="45" spans="3:36" x14ac:dyDescent="0.2">
      <c r="C45" s="497" t="str">
        <f>INT('English LRFD'!L43)&amp;"' - "&amp;INT(('English LRFD'!L43-INT('English LRFD'!L43))*12)&amp;""""</f>
        <v>12' - 3"</v>
      </c>
      <c r="D45" s="270">
        <f>'English LRFD'!M43</f>
        <v>9.5</v>
      </c>
      <c r="E45" s="378" t="str">
        <f>'English LRFD'!N43</f>
        <v># 6</v>
      </c>
      <c r="F45" s="247">
        <f>'English LRFD'!O43</f>
        <v>9.75</v>
      </c>
      <c r="G45" s="378" t="str">
        <f>'English LRFD'!P43</f>
        <v># 6</v>
      </c>
      <c r="H45" s="234">
        <f>'English LRFD'!Q43</f>
        <v>7</v>
      </c>
      <c r="I45" s="234">
        <f>'English LRFD'!R43</f>
        <v>6.25</v>
      </c>
      <c r="J45" s="234">
        <f>'English LRFD'!S43</f>
        <v>6.25</v>
      </c>
      <c r="K45" s="234">
        <f>'English LRFD'!T43</f>
        <v>6.75</v>
      </c>
      <c r="L45" s="234">
        <f>'English LRFD'!U43</f>
        <v>7.5</v>
      </c>
      <c r="M45" s="247">
        <f>'English LRFD'!V43</f>
        <v>6</v>
      </c>
      <c r="N45" s="246" t="str">
        <f>'English LRFD'!W43</f>
        <v># 5</v>
      </c>
      <c r="O45" s="260">
        <f>'English LRFD'!X43</f>
        <v>13</v>
      </c>
      <c r="P45" s="237">
        <f>'English LRFD'!Y43</f>
        <v>14</v>
      </c>
      <c r="Q45" s="237">
        <f>'English LRFD'!Z43</f>
        <v>14</v>
      </c>
      <c r="R45" s="237">
        <f>'English LRFD'!AA43</f>
        <v>14</v>
      </c>
      <c r="S45" s="237">
        <f>'English LRFD'!AB43</f>
        <v>13</v>
      </c>
      <c r="T45" s="261">
        <f>'English LRFD'!AC43</f>
        <v>14</v>
      </c>
      <c r="W45" s="497" t="str">
        <f>INT('English LRFD'!CI26)&amp;"' - "&amp;INT(('English LRFD'!CI26-INT('English LRFD'!CI26))*12)&amp;""""</f>
        <v>5' - 3"</v>
      </c>
      <c r="X45" s="487" t="str">
        <f>'English LRFD'!CJ26</f>
        <v># 6</v>
      </c>
      <c r="Y45" s="484">
        <f>'English LRFD'!CK26</f>
        <v>8.5</v>
      </c>
      <c r="Z45" s="484">
        <f>'English LRFD'!CL26</f>
        <v>7.75</v>
      </c>
      <c r="AA45" s="484">
        <f>'English LRFD'!CM26</f>
        <v>8</v>
      </c>
      <c r="AB45" s="484">
        <f>'English LRFD'!CN26</f>
        <v>8.25</v>
      </c>
      <c r="AC45" s="484">
        <f>'English LRFD'!CO26</f>
        <v>8.75</v>
      </c>
      <c r="AD45" s="485">
        <f>'English LRFD'!CP26</f>
        <v>7.75</v>
      </c>
      <c r="AE45" s="484">
        <f>'English LRFD'!CQ26</f>
        <v>8.5</v>
      </c>
      <c r="AF45" s="484">
        <f>'English LRFD'!CR26</f>
        <v>7.75</v>
      </c>
      <c r="AG45" s="484">
        <f>'English LRFD'!CS26</f>
        <v>8</v>
      </c>
      <c r="AH45" s="484">
        <f>'English LRFD'!CT26</f>
        <v>8.25</v>
      </c>
      <c r="AI45" s="484">
        <f>'English LRFD'!CU26</f>
        <v>8.75</v>
      </c>
      <c r="AJ45" s="485">
        <f>'English LRFD'!CV26</f>
        <v>7.75</v>
      </c>
    </row>
    <row r="46" spans="3:36" x14ac:dyDescent="0.2">
      <c r="C46" s="497" t="str">
        <f>INT('English LRFD'!L44)&amp;"' - "&amp;INT(('English LRFD'!L44-INT('English LRFD'!L44))*12)&amp;""""</f>
        <v>12' - 6"</v>
      </c>
      <c r="D46" s="270">
        <f>'English LRFD'!M44</f>
        <v>9.5</v>
      </c>
      <c r="E46" s="378" t="str">
        <f>'English LRFD'!N44</f>
        <v># 6</v>
      </c>
      <c r="F46" s="247">
        <f>'English LRFD'!O44</f>
        <v>9.75</v>
      </c>
      <c r="G46" s="378" t="str">
        <f>'English LRFD'!P44</f>
        <v># 6</v>
      </c>
      <c r="H46" s="234">
        <f>'English LRFD'!Q44</f>
        <v>6.75</v>
      </c>
      <c r="I46" s="234">
        <f>'English LRFD'!R44</f>
        <v>6</v>
      </c>
      <c r="J46" s="234">
        <f>'English LRFD'!S44</f>
        <v>6.25</v>
      </c>
      <c r="K46" s="234">
        <f>'English LRFD'!T44</f>
        <v>6.5</v>
      </c>
      <c r="L46" s="234">
        <f>'English LRFD'!U44</f>
        <v>7.25</v>
      </c>
      <c r="M46" s="247">
        <f>'English LRFD'!V44</f>
        <v>5.75</v>
      </c>
      <c r="N46" s="246" t="str">
        <f>'English LRFD'!W44</f>
        <v># 5</v>
      </c>
      <c r="O46" s="260">
        <f>'English LRFD'!X44</f>
        <v>14</v>
      </c>
      <c r="P46" s="237">
        <f>'English LRFD'!Y44</f>
        <v>14</v>
      </c>
      <c r="Q46" s="237">
        <f>'English LRFD'!Z44</f>
        <v>14</v>
      </c>
      <c r="R46" s="237">
        <f>'English LRFD'!AA44</f>
        <v>14</v>
      </c>
      <c r="S46" s="237">
        <f>'English LRFD'!AB44</f>
        <v>13</v>
      </c>
      <c r="T46" s="261">
        <f>'English LRFD'!AC44</f>
        <v>14</v>
      </c>
      <c r="W46" s="497" t="str">
        <f>INT('English LRFD'!CI27)&amp;"' - "&amp;INT(('English LRFD'!CI27-INT('English LRFD'!CI27))*12)&amp;""""</f>
        <v>5' - 6"</v>
      </c>
      <c r="X46" s="487" t="str">
        <f>'English LRFD'!CJ27</f>
        <v># 6</v>
      </c>
      <c r="Y46" s="484">
        <f>'English LRFD'!CK27</f>
        <v>8.25</v>
      </c>
      <c r="Z46" s="484">
        <f>'English LRFD'!CL27</f>
        <v>7.5</v>
      </c>
      <c r="AA46" s="484">
        <f>'English LRFD'!CM27</f>
        <v>7.75</v>
      </c>
      <c r="AB46" s="484">
        <f>'English LRFD'!CN27</f>
        <v>8</v>
      </c>
      <c r="AC46" s="484">
        <f>'English LRFD'!CO27</f>
        <v>8.5</v>
      </c>
      <c r="AD46" s="485">
        <f>'English LRFD'!CP27</f>
        <v>7.5</v>
      </c>
      <c r="AE46" s="484">
        <f>'English LRFD'!CQ27</f>
        <v>8.25</v>
      </c>
      <c r="AF46" s="484">
        <f>'English LRFD'!CR27</f>
        <v>7.75</v>
      </c>
      <c r="AG46" s="484">
        <f>'English LRFD'!CS27</f>
        <v>7.75</v>
      </c>
      <c r="AH46" s="484">
        <f>'English LRFD'!CT27</f>
        <v>8</v>
      </c>
      <c r="AI46" s="484">
        <f>'English LRFD'!CU27</f>
        <v>8.5</v>
      </c>
      <c r="AJ46" s="485">
        <f>'English LRFD'!CV27</f>
        <v>7.5</v>
      </c>
    </row>
    <row r="47" spans="3:36" x14ac:dyDescent="0.2">
      <c r="C47" s="497" t="str">
        <f>INT('English LRFD'!L45)&amp;"' - "&amp;INT(('English LRFD'!L45-INT('English LRFD'!L45))*12)&amp;""""</f>
        <v>12' - 9"</v>
      </c>
      <c r="D47" s="270">
        <f>'English LRFD'!M45</f>
        <v>9.5</v>
      </c>
      <c r="E47" s="378" t="str">
        <f>'English LRFD'!N45</f>
        <v># 6</v>
      </c>
      <c r="F47" s="247">
        <f>'English LRFD'!O45</f>
        <v>9.5</v>
      </c>
      <c r="G47" s="378" t="str">
        <f>'English LRFD'!P45</f>
        <v># 6</v>
      </c>
      <c r="H47" s="234">
        <f>'English LRFD'!Q45</f>
        <v>6.75</v>
      </c>
      <c r="I47" s="234">
        <f>'English LRFD'!R45</f>
        <v>6</v>
      </c>
      <c r="J47" s="234">
        <f>'English LRFD'!S45</f>
        <v>6</v>
      </c>
      <c r="K47" s="234">
        <f>'English LRFD'!T45</f>
        <v>6.5</v>
      </c>
      <c r="L47" s="234">
        <f>'English LRFD'!U45</f>
        <v>7</v>
      </c>
      <c r="M47" s="247">
        <f>'English LRFD'!V45</f>
        <v>5.75</v>
      </c>
      <c r="N47" s="246" t="str">
        <f>'English LRFD'!W45</f>
        <v># 5</v>
      </c>
      <c r="O47" s="260">
        <f>'English LRFD'!X45</f>
        <v>14</v>
      </c>
      <c r="P47" s="237">
        <f>'English LRFD'!Y45</f>
        <v>15</v>
      </c>
      <c r="Q47" s="237">
        <f>'English LRFD'!Z45</f>
        <v>15</v>
      </c>
      <c r="R47" s="237">
        <f>'English LRFD'!AA45</f>
        <v>14</v>
      </c>
      <c r="S47" s="237">
        <f>'English LRFD'!AB45</f>
        <v>14</v>
      </c>
      <c r="T47" s="261">
        <f>'English LRFD'!AC45</f>
        <v>15</v>
      </c>
      <c r="W47" s="497" t="str">
        <f>INT('English LRFD'!CI28)&amp;"' - "&amp;INT(('English LRFD'!CI28-INT('English LRFD'!CI28))*12)&amp;""""</f>
        <v>5' - 9"</v>
      </c>
      <c r="X47" s="487" t="str">
        <f>'English LRFD'!CJ28</f>
        <v># 6</v>
      </c>
      <c r="Y47" s="484">
        <f>'English LRFD'!CK28</f>
        <v>8</v>
      </c>
      <c r="Z47" s="484">
        <f>'English LRFD'!CL28</f>
        <v>7.25</v>
      </c>
      <c r="AA47" s="484">
        <f>'English LRFD'!CM28</f>
        <v>7.5</v>
      </c>
      <c r="AB47" s="484">
        <f>'English LRFD'!CN28</f>
        <v>7.75</v>
      </c>
      <c r="AC47" s="484">
        <f>'English LRFD'!CO28</f>
        <v>8.25</v>
      </c>
      <c r="AD47" s="485">
        <f>'English LRFD'!CP28</f>
        <v>7.25</v>
      </c>
      <c r="AE47" s="484">
        <f>'English LRFD'!CQ28</f>
        <v>8</v>
      </c>
      <c r="AF47" s="484">
        <f>'English LRFD'!CR28</f>
        <v>7.5</v>
      </c>
      <c r="AG47" s="484">
        <f>'English LRFD'!CS28</f>
        <v>7.5</v>
      </c>
      <c r="AH47" s="484">
        <f>'English LRFD'!CT28</f>
        <v>7.75</v>
      </c>
      <c r="AI47" s="484">
        <f>'English LRFD'!CU28</f>
        <v>8.25</v>
      </c>
      <c r="AJ47" s="485">
        <f>'English LRFD'!CV28</f>
        <v>7.25</v>
      </c>
    </row>
    <row r="48" spans="3:36" ht="13.5" thickBot="1" x14ac:dyDescent="0.25">
      <c r="C48" s="497" t="str">
        <f>INT('English LRFD'!L46)&amp;"' - "&amp;INT(('English LRFD'!L46-INT('English LRFD'!L46))*12)&amp;""""</f>
        <v>13' - 0"</v>
      </c>
      <c r="D48" s="270">
        <f>'English LRFD'!M46</f>
        <v>10</v>
      </c>
      <c r="E48" s="378" t="str">
        <f>'English LRFD'!N46</f>
        <v># 6</v>
      </c>
      <c r="F48" s="247">
        <f>'English LRFD'!O46</f>
        <v>9.75</v>
      </c>
      <c r="G48" s="378" t="str">
        <f>'English LRFD'!P46</f>
        <v># 6</v>
      </c>
      <c r="H48" s="234">
        <f>'English LRFD'!Q46</f>
        <v>7</v>
      </c>
      <c r="I48" s="234">
        <f>'English LRFD'!R46</f>
        <v>6.25</v>
      </c>
      <c r="J48" s="234">
        <f>'English LRFD'!S46</f>
        <v>6.25</v>
      </c>
      <c r="K48" s="234">
        <f>'English LRFD'!T46</f>
        <v>6.75</v>
      </c>
      <c r="L48" s="234">
        <f>'English LRFD'!U46</f>
        <v>7.25</v>
      </c>
      <c r="M48" s="247">
        <f>'English LRFD'!V46</f>
        <v>6</v>
      </c>
      <c r="N48" s="246" t="str">
        <f>'English LRFD'!W46</f>
        <v># 5</v>
      </c>
      <c r="O48" s="260">
        <f>'English LRFD'!X46</f>
        <v>14</v>
      </c>
      <c r="P48" s="237">
        <f>'English LRFD'!Y46</f>
        <v>14</v>
      </c>
      <c r="Q48" s="237">
        <f>'English LRFD'!Z46</f>
        <v>14</v>
      </c>
      <c r="R48" s="237">
        <f>'English LRFD'!AA46</f>
        <v>14</v>
      </c>
      <c r="S48" s="237">
        <f>'English LRFD'!AB46</f>
        <v>14</v>
      </c>
      <c r="T48" s="261">
        <f>'English LRFD'!AC46</f>
        <v>14</v>
      </c>
      <c r="W48" s="499" t="str">
        <f>INT('English LRFD'!CI29)&amp;"' - "&amp;INT(('English LRFD'!CI29-INT('English LRFD'!CI29))*12)&amp;""""</f>
        <v>6' - 0"</v>
      </c>
      <c r="X48" s="493" t="str">
        <f>'English LRFD'!CJ29</f>
        <v># 6</v>
      </c>
      <c r="Y48" s="494">
        <f>'English LRFD'!CK29</f>
        <v>7.75</v>
      </c>
      <c r="Z48" s="494">
        <f>'English LRFD'!CL29</f>
        <v>7</v>
      </c>
      <c r="AA48" s="494">
        <f>'English LRFD'!CM29</f>
        <v>7.25</v>
      </c>
      <c r="AB48" s="494">
        <f>'English LRFD'!CN29</f>
        <v>7.5</v>
      </c>
      <c r="AC48" s="494">
        <f>'English LRFD'!CO29</f>
        <v>8</v>
      </c>
      <c r="AD48" s="495">
        <f>'English LRFD'!CP29</f>
        <v>7</v>
      </c>
      <c r="AE48" s="494">
        <f>'English LRFD'!CQ29</f>
        <v>7.75</v>
      </c>
      <c r="AF48" s="494">
        <f>'English LRFD'!CR29</f>
        <v>7.25</v>
      </c>
      <c r="AG48" s="494">
        <f>'English LRFD'!CS29</f>
        <v>7.25</v>
      </c>
      <c r="AH48" s="494">
        <f>'English LRFD'!CT29</f>
        <v>7.5</v>
      </c>
      <c r="AI48" s="494">
        <f>'English LRFD'!CU29</f>
        <v>8</v>
      </c>
      <c r="AJ48" s="495">
        <f>'English LRFD'!CV29</f>
        <v>7.25</v>
      </c>
    </row>
    <row r="49" spans="3:36" x14ac:dyDescent="0.2">
      <c r="C49" s="497" t="str">
        <f>INT('English LRFD'!L47)&amp;"' - "&amp;INT(('English LRFD'!L47-INT('English LRFD'!L47))*12)&amp;""""</f>
        <v>13' - 3"</v>
      </c>
      <c r="D49" s="270">
        <f>'English LRFD'!M47</f>
        <v>10</v>
      </c>
      <c r="E49" s="378" t="str">
        <f>'English LRFD'!N47</f>
        <v># 6</v>
      </c>
      <c r="F49" s="247">
        <f>'English LRFD'!O47</f>
        <v>9.75</v>
      </c>
      <c r="G49" s="378" t="str">
        <f>'English LRFD'!P47</f>
        <v># 6</v>
      </c>
      <c r="H49" s="234">
        <f>'English LRFD'!Q47</f>
        <v>6.75</v>
      </c>
      <c r="I49" s="234">
        <f>'English LRFD'!R47</f>
        <v>6</v>
      </c>
      <c r="J49" s="234">
        <f>'English LRFD'!S47</f>
        <v>6.25</v>
      </c>
      <c r="K49" s="234">
        <f>'English LRFD'!T47</f>
        <v>6.5</v>
      </c>
      <c r="L49" s="234">
        <f>'English LRFD'!U47</f>
        <v>7.25</v>
      </c>
      <c r="M49" s="247">
        <f>'English LRFD'!V47</f>
        <v>5.75</v>
      </c>
      <c r="N49" s="246" t="str">
        <f>'English LRFD'!W47</f>
        <v># 5</v>
      </c>
      <c r="O49" s="260">
        <f>'English LRFD'!X47</f>
        <v>14</v>
      </c>
      <c r="P49" s="237">
        <f>'English LRFD'!Y47</f>
        <v>15</v>
      </c>
      <c r="Q49" s="237">
        <f>'English LRFD'!Z47</f>
        <v>15</v>
      </c>
      <c r="R49" s="237">
        <f>'English LRFD'!AA47</f>
        <v>14</v>
      </c>
      <c r="S49" s="237">
        <f>'English LRFD'!AB47</f>
        <v>14</v>
      </c>
      <c r="T49" s="261">
        <f>'English LRFD'!AC47</f>
        <v>15</v>
      </c>
      <c r="AI49" s="626" t="str">
        <f>S57</f>
        <v>Version 1 Released</v>
      </c>
      <c r="AJ49" s="563">
        <f>T57</f>
        <v>42164</v>
      </c>
    </row>
    <row r="50" spans="3:36" x14ac:dyDescent="0.2">
      <c r="C50" s="497" t="str">
        <f>INT('English LRFD'!L48)&amp;"' - "&amp;INT(('English LRFD'!L48-INT('English LRFD'!L48))*12)&amp;""""</f>
        <v>13' - 6"</v>
      </c>
      <c r="D50" s="270">
        <f>'English LRFD'!M48</f>
        <v>10</v>
      </c>
      <c r="E50" s="378" t="str">
        <f>'English LRFD'!N48</f>
        <v># 6</v>
      </c>
      <c r="F50" s="247">
        <f>'English LRFD'!O48</f>
        <v>9.5</v>
      </c>
      <c r="G50" s="378" t="str">
        <f>'English LRFD'!P48</f>
        <v># 6</v>
      </c>
      <c r="H50" s="234">
        <f>'English LRFD'!Q48</f>
        <v>6.75</v>
      </c>
      <c r="I50" s="234">
        <f>'English LRFD'!R48</f>
        <v>6</v>
      </c>
      <c r="J50" s="234">
        <f>'English LRFD'!S48</f>
        <v>6</v>
      </c>
      <c r="K50" s="234">
        <f>'English LRFD'!T48</f>
        <v>6.5</v>
      </c>
      <c r="L50" s="234">
        <f>'English LRFD'!U48</f>
        <v>7</v>
      </c>
      <c r="M50" s="247">
        <f>'English LRFD'!V48</f>
        <v>5.75</v>
      </c>
      <c r="N50" s="246" t="str">
        <f>'English LRFD'!W48</f>
        <v># 5</v>
      </c>
      <c r="O50" s="260">
        <f>'English LRFD'!X48</f>
        <v>15</v>
      </c>
      <c r="P50" s="237">
        <f>'English LRFD'!Y48</f>
        <v>15</v>
      </c>
      <c r="Q50" s="237">
        <f>'English LRFD'!Z48</f>
        <v>15</v>
      </c>
      <c r="R50" s="237">
        <f>'English LRFD'!AA48</f>
        <v>15</v>
      </c>
      <c r="S50" s="237">
        <f>'English LRFD'!AB48</f>
        <v>14</v>
      </c>
      <c r="T50" s="261">
        <f>'English LRFD'!AC48</f>
        <v>15</v>
      </c>
      <c r="W50" s="456" t="s">
        <v>469</v>
      </c>
      <c r="AF50" s="456" t="s">
        <v>627</v>
      </c>
    </row>
    <row r="51" spans="3:36" ht="15.75" x14ac:dyDescent="0.3">
      <c r="C51" s="497" t="str">
        <f>INT('English LRFD'!L49)&amp;"' - "&amp;INT(('English LRFD'!L49-INT('English LRFD'!L49))*12)&amp;""""</f>
        <v>13' - 9"</v>
      </c>
      <c r="D51" s="270">
        <f>'English LRFD'!M49</f>
        <v>10.5</v>
      </c>
      <c r="E51" s="378" t="str">
        <f>'English LRFD'!N49</f>
        <v># 6</v>
      </c>
      <c r="F51" s="247">
        <f>'English LRFD'!O49</f>
        <v>9.75</v>
      </c>
      <c r="G51" s="378" t="str">
        <f>'English LRFD'!P49</f>
        <v># 6</v>
      </c>
      <c r="H51" s="234">
        <f>'English LRFD'!Q49</f>
        <v>7</v>
      </c>
      <c r="I51" s="234">
        <f>'English LRFD'!R49</f>
        <v>6.25</v>
      </c>
      <c r="J51" s="234">
        <f>'English LRFD'!S49</f>
        <v>6.25</v>
      </c>
      <c r="K51" s="234">
        <f>'English LRFD'!T49</f>
        <v>6.75</v>
      </c>
      <c r="L51" s="234">
        <f>'English LRFD'!U49</f>
        <v>7.25</v>
      </c>
      <c r="M51" s="247">
        <f>'English LRFD'!V49</f>
        <v>6</v>
      </c>
      <c r="N51" s="246" t="str">
        <f>'English LRFD'!W49</f>
        <v># 5</v>
      </c>
      <c r="O51" s="260">
        <f>'English LRFD'!X49</f>
        <v>14</v>
      </c>
      <c r="P51" s="237">
        <f>'English LRFD'!Y49</f>
        <v>15</v>
      </c>
      <c r="Q51" s="237">
        <f>'English LRFD'!Z49</f>
        <v>15</v>
      </c>
      <c r="R51" s="237">
        <f>'English LRFD'!AA49</f>
        <v>14</v>
      </c>
      <c r="S51" s="237">
        <f>'English LRFD'!AB49</f>
        <v>14</v>
      </c>
      <c r="T51" s="261">
        <f>'English LRFD'!AC49</f>
        <v>15</v>
      </c>
      <c r="W51" s="456" t="s">
        <v>554</v>
      </c>
      <c r="AF51" s="456" t="s">
        <v>483</v>
      </c>
      <c r="AH51" s="456" t="s">
        <v>484</v>
      </c>
    </row>
    <row r="52" spans="3:36" x14ac:dyDescent="0.2">
      <c r="C52" s="497" t="str">
        <f>INT('English LRFD'!L50)&amp;"' - "&amp;INT(('English LRFD'!L50-INT('English LRFD'!L50))*12)&amp;""""</f>
        <v>14' - 0"</v>
      </c>
      <c r="D52" s="270">
        <f>'English LRFD'!M50</f>
        <v>10.5</v>
      </c>
      <c r="E52" s="378" t="str">
        <f>'English LRFD'!N50</f>
        <v># 6</v>
      </c>
      <c r="F52" s="247">
        <f>'English LRFD'!O50</f>
        <v>9.75</v>
      </c>
      <c r="G52" s="378" t="str">
        <f>'English LRFD'!P50</f>
        <v># 6</v>
      </c>
      <c r="H52" s="234">
        <f>'English LRFD'!Q50</f>
        <v>6.75</v>
      </c>
      <c r="I52" s="234">
        <f>'English LRFD'!R50</f>
        <v>6</v>
      </c>
      <c r="J52" s="234">
        <f>'English LRFD'!S50</f>
        <v>6.25</v>
      </c>
      <c r="K52" s="234">
        <f>'English LRFD'!T50</f>
        <v>6.5</v>
      </c>
      <c r="L52" s="234">
        <f>'English LRFD'!U50</f>
        <v>7</v>
      </c>
      <c r="M52" s="247">
        <f>'English LRFD'!V50</f>
        <v>6</v>
      </c>
      <c r="N52" s="246" t="str">
        <f>'English LRFD'!W50</f>
        <v># 5</v>
      </c>
      <c r="O52" s="260">
        <f>'English LRFD'!X50</f>
        <v>15</v>
      </c>
      <c r="P52" s="237">
        <f>'English LRFD'!Y50</f>
        <v>15</v>
      </c>
      <c r="Q52" s="237">
        <f>'English LRFD'!Z50</f>
        <v>15</v>
      </c>
      <c r="R52" s="237">
        <f>'English LRFD'!AA50</f>
        <v>15</v>
      </c>
      <c r="S52" s="237">
        <f>'English LRFD'!AB50</f>
        <v>14</v>
      </c>
      <c r="T52" s="261">
        <f>'English LRFD'!AC50</f>
        <v>15</v>
      </c>
    </row>
    <row r="53" spans="3:36" x14ac:dyDescent="0.2">
      <c r="C53" s="497" t="str">
        <f>INT('English LRFD'!L51)&amp;"' - "&amp;INT(('English LRFD'!L51-INT('English LRFD'!L51))*12)&amp;""""</f>
        <v>14' - 3"</v>
      </c>
      <c r="D53" s="270">
        <f>'English LRFD'!M51</f>
        <v>10.5</v>
      </c>
      <c r="E53" s="378" t="str">
        <f>'English LRFD'!N51</f>
        <v># 6</v>
      </c>
      <c r="F53" s="247">
        <f>'English LRFD'!O51</f>
        <v>9.5</v>
      </c>
      <c r="G53" s="378" t="str">
        <f>'English LRFD'!P51</f>
        <v># 6</v>
      </c>
      <c r="H53" s="234">
        <f>'English LRFD'!Q51</f>
        <v>6.75</v>
      </c>
      <c r="I53" s="234">
        <f>'English LRFD'!R51</f>
        <v>6</v>
      </c>
      <c r="J53" s="234">
        <f>'English LRFD'!S51</f>
        <v>6.25</v>
      </c>
      <c r="K53" s="234">
        <f>'English LRFD'!T51</f>
        <v>6.5</v>
      </c>
      <c r="L53" s="234">
        <f>'English LRFD'!U51</f>
        <v>7</v>
      </c>
      <c r="M53" s="247">
        <f>'English LRFD'!V51</f>
        <v>5.75</v>
      </c>
      <c r="N53" s="246" t="str">
        <f>'English LRFD'!W51</f>
        <v># 5</v>
      </c>
      <c r="O53" s="260">
        <f>'English LRFD'!X51</f>
        <v>15</v>
      </c>
      <c r="P53" s="237">
        <f>'English LRFD'!Y51</f>
        <v>15</v>
      </c>
      <c r="Q53" s="237">
        <f>'English LRFD'!Z51</f>
        <v>15</v>
      </c>
      <c r="R53" s="237">
        <f>'English LRFD'!AA51</f>
        <v>15</v>
      </c>
      <c r="S53" s="237">
        <f>'English LRFD'!AB51</f>
        <v>15</v>
      </c>
      <c r="T53" s="261">
        <f>'English LRFD'!AC51</f>
        <v>16</v>
      </c>
    </row>
    <row r="54" spans="3:36" x14ac:dyDescent="0.2">
      <c r="C54" s="497" t="str">
        <f>INT('English LRFD'!L52)&amp;"' - "&amp;INT(('English LRFD'!L52-INT('English LRFD'!L52))*12)&amp;""""</f>
        <v>14' - 6"</v>
      </c>
      <c r="D54" s="270">
        <f>'English LRFD'!M52</f>
        <v>11</v>
      </c>
      <c r="E54" s="378" t="str">
        <f>'English LRFD'!N52</f>
        <v># 6</v>
      </c>
      <c r="F54" s="247">
        <f>'English LRFD'!O52</f>
        <v>9.75</v>
      </c>
      <c r="G54" s="378" t="str">
        <f>'English LRFD'!P52</f>
        <v># 6</v>
      </c>
      <c r="H54" s="234">
        <f>'English LRFD'!Q52</f>
        <v>7</v>
      </c>
      <c r="I54" s="234">
        <f>'English LRFD'!R52</f>
        <v>6.25</v>
      </c>
      <c r="J54" s="234">
        <f>'English LRFD'!S52</f>
        <v>6.25</v>
      </c>
      <c r="K54" s="234">
        <f>'English LRFD'!T52</f>
        <v>6.75</v>
      </c>
      <c r="L54" s="234">
        <f>'English LRFD'!U52</f>
        <v>7.25</v>
      </c>
      <c r="M54" s="247">
        <f>'English LRFD'!V52</f>
        <v>6</v>
      </c>
      <c r="N54" s="246" t="str">
        <f>'English LRFD'!W52</f>
        <v># 5</v>
      </c>
      <c r="O54" s="260">
        <f>'English LRFD'!X52</f>
        <v>15</v>
      </c>
      <c r="P54" s="237">
        <f>'English LRFD'!Y52</f>
        <v>15</v>
      </c>
      <c r="Q54" s="237">
        <f>'English LRFD'!Z52</f>
        <v>15</v>
      </c>
      <c r="R54" s="237">
        <f>'English LRFD'!AA52</f>
        <v>15</v>
      </c>
      <c r="S54" s="237">
        <f>'English LRFD'!AB52</f>
        <v>14</v>
      </c>
      <c r="T54" s="261">
        <f>'English LRFD'!AC52</f>
        <v>15</v>
      </c>
    </row>
    <row r="55" spans="3:36" x14ac:dyDescent="0.2">
      <c r="C55" s="497" t="str">
        <f>INT('English LRFD'!L53)&amp;"' - "&amp;INT(('English LRFD'!L53-INT('English LRFD'!L53))*12)&amp;""""</f>
        <v>14' - 9"</v>
      </c>
      <c r="D55" s="270">
        <f>'English LRFD'!M53</f>
        <v>11</v>
      </c>
      <c r="E55" s="378" t="str">
        <f>'English LRFD'!N53</f>
        <v># 6</v>
      </c>
      <c r="F55" s="247">
        <f>'English LRFD'!O53</f>
        <v>9.75</v>
      </c>
      <c r="G55" s="378" t="str">
        <f>'English LRFD'!P53</f>
        <v># 6</v>
      </c>
      <c r="H55" s="234">
        <f>'English LRFD'!Q53</f>
        <v>6.75</v>
      </c>
      <c r="I55" s="234">
        <f>'English LRFD'!R53</f>
        <v>6.25</v>
      </c>
      <c r="J55" s="234">
        <f>'English LRFD'!S53</f>
        <v>6.25</v>
      </c>
      <c r="K55" s="234">
        <f>'English LRFD'!T53</f>
        <v>6.5</v>
      </c>
      <c r="L55" s="234">
        <f>'English LRFD'!U53</f>
        <v>7</v>
      </c>
      <c r="M55" s="247">
        <f>'English LRFD'!V53</f>
        <v>6</v>
      </c>
      <c r="N55" s="246" t="str">
        <f>'English LRFD'!W53</f>
        <v># 5</v>
      </c>
      <c r="O55" s="260">
        <f>'English LRFD'!X53</f>
        <v>15</v>
      </c>
      <c r="P55" s="237">
        <f>'English LRFD'!Y53</f>
        <v>15</v>
      </c>
      <c r="Q55" s="237">
        <f>'English LRFD'!Z53</f>
        <v>15</v>
      </c>
      <c r="R55" s="237">
        <f>'English LRFD'!AA53</f>
        <v>15</v>
      </c>
      <c r="S55" s="237">
        <f>'English LRFD'!AB53</f>
        <v>15</v>
      </c>
      <c r="T55" s="261">
        <f>'English LRFD'!AC53</f>
        <v>16</v>
      </c>
    </row>
    <row r="56" spans="3:36" ht="13.5" thickBot="1" x14ac:dyDescent="0.25">
      <c r="C56" s="499" t="str">
        <f>INT('English LRFD'!L54)&amp;"' - "&amp;INT(('English LRFD'!L54-INT('English LRFD'!L54))*12)&amp;""""</f>
        <v>15' - 0"</v>
      </c>
      <c r="D56" s="271">
        <f>'English LRFD'!M54</f>
        <v>11</v>
      </c>
      <c r="E56" s="379" t="str">
        <f>'English LRFD'!N54</f>
        <v># 6</v>
      </c>
      <c r="F56" s="250">
        <f>'English LRFD'!O54</f>
        <v>9.75</v>
      </c>
      <c r="G56" s="379" t="str">
        <f>'English LRFD'!P54</f>
        <v># 6</v>
      </c>
      <c r="H56" s="249">
        <f>'English LRFD'!Q54</f>
        <v>6.75</v>
      </c>
      <c r="I56" s="249">
        <f>'English LRFD'!R54</f>
        <v>6</v>
      </c>
      <c r="J56" s="249">
        <f>'English LRFD'!S54</f>
        <v>6.25</v>
      </c>
      <c r="K56" s="249">
        <f>'English LRFD'!T54</f>
        <v>6.5</v>
      </c>
      <c r="L56" s="249">
        <f>'English LRFD'!U54</f>
        <v>7</v>
      </c>
      <c r="M56" s="250">
        <f>'English LRFD'!V54</f>
        <v>6</v>
      </c>
      <c r="N56" s="248" t="str">
        <f>'English LRFD'!W54</f>
        <v># 5</v>
      </c>
      <c r="O56" s="262">
        <f>'English LRFD'!X54</f>
        <v>15</v>
      </c>
      <c r="P56" s="263">
        <f>'English LRFD'!Y54</f>
        <v>16</v>
      </c>
      <c r="Q56" s="263">
        <f>'English LRFD'!Z54</f>
        <v>16</v>
      </c>
      <c r="R56" s="263">
        <f>'English LRFD'!AA54</f>
        <v>15</v>
      </c>
      <c r="S56" s="263">
        <f>'English LRFD'!AB54</f>
        <v>15</v>
      </c>
      <c r="T56" s="264">
        <f>'English LRFD'!AC54</f>
        <v>16</v>
      </c>
    </row>
    <row r="57" spans="3:36" x14ac:dyDescent="0.2">
      <c r="G57" s="429" t="s">
        <v>472</v>
      </c>
      <c r="S57" s="564" t="s">
        <v>607</v>
      </c>
      <c r="T57" s="454">
        <v>42164</v>
      </c>
    </row>
    <row r="59" spans="3:36" ht="14.25" x14ac:dyDescent="0.2">
      <c r="D59" s="456" t="s">
        <v>600</v>
      </c>
      <c r="M59" s="456" t="s">
        <v>459</v>
      </c>
    </row>
    <row r="60" spans="3:36" ht="14.25" x14ac:dyDescent="0.2">
      <c r="D60" s="456" t="s">
        <v>599</v>
      </c>
      <c r="M60" s="684" t="s">
        <v>594</v>
      </c>
    </row>
    <row r="61" spans="3:36" ht="14.25" x14ac:dyDescent="0.2">
      <c r="D61" t="s">
        <v>460</v>
      </c>
      <c r="M61" s="684" t="s">
        <v>593</v>
      </c>
    </row>
    <row r="62" spans="3:36" x14ac:dyDescent="0.2">
      <c r="D62" s="456" t="s">
        <v>601</v>
      </c>
      <c r="M62" s="684" t="s">
        <v>642</v>
      </c>
    </row>
  </sheetData>
  <sheetProtection password="87D3" sheet="1" objects="1" scenarios="1"/>
  <mergeCells count="24">
    <mergeCell ref="M10:M11"/>
    <mergeCell ref="H10:H11"/>
    <mergeCell ref="I10:I11"/>
    <mergeCell ref="J10:J11"/>
    <mergeCell ref="K10:K11"/>
    <mergeCell ref="L10:L11"/>
    <mergeCell ref="O10:O11"/>
    <mergeCell ref="P10:P11"/>
    <mergeCell ref="T10:T11"/>
    <mergeCell ref="S10:S11"/>
    <mergeCell ref="R10:R11"/>
    <mergeCell ref="Q10:Q11"/>
    <mergeCell ref="AJ9:AJ10"/>
    <mergeCell ref="Y9:Y10"/>
    <mergeCell ref="Z9:Z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</mergeCells>
  <printOptions horizontalCentered="1"/>
  <pageMargins left="0.7" right="0.7" top="0.55000000000000004" bottom="0.55000000000000004" header="0.3" footer="0.3"/>
  <pageSetup scale="71" orientation="landscape" r:id="rId1"/>
  <headerFooter>
    <oddHeader>&amp;L&amp;14MDT&amp;C&amp;14LRFD Bridge Deck Design&amp;R&amp;14Bridge Bureau</oddHeader>
    <oddFooter>&amp;L&amp;F&amp;C&amp;P&amp;R&amp;D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/>
    <pageSetUpPr fitToPage="1"/>
  </sheetPr>
  <dimension ref="B1:S57"/>
  <sheetViews>
    <sheetView zoomScaleNormal="100" workbookViewId="0">
      <selection activeCell="F8" sqref="F8"/>
    </sheetView>
  </sheetViews>
  <sheetFormatPr defaultRowHeight="12.75" x14ac:dyDescent="0.2"/>
  <cols>
    <col min="2" max="2" width="6" customWidth="1"/>
    <col min="3" max="7" width="10" customWidth="1"/>
    <col min="8" max="8" width="7.140625" customWidth="1"/>
    <col min="9" max="9" width="10" customWidth="1"/>
    <col min="10" max="10" width="10.5703125" customWidth="1"/>
    <col min="11" max="11" width="10" customWidth="1"/>
    <col min="17" max="19" width="0" hidden="1" customWidth="1"/>
  </cols>
  <sheetData>
    <row r="1" spans="2:18" ht="13.5" thickBot="1" x14ac:dyDescent="0.25">
      <c r="F1" s="228" t="s">
        <v>616</v>
      </c>
    </row>
    <row r="2" spans="2:18" x14ac:dyDescent="0.2">
      <c r="B2" s="130" t="s">
        <v>644</v>
      </c>
      <c r="C2" s="131"/>
      <c r="D2" s="131"/>
      <c r="E2" s="131"/>
      <c r="F2" s="131"/>
      <c r="G2" s="131"/>
      <c r="H2" s="131"/>
      <c r="I2" s="131"/>
      <c r="J2" s="132"/>
      <c r="K2" s="38"/>
    </row>
    <row r="3" spans="2:18" x14ac:dyDescent="0.2">
      <c r="B3" s="134"/>
      <c r="C3" s="135"/>
      <c r="D3" s="135"/>
      <c r="E3" s="136" t="s">
        <v>23</v>
      </c>
      <c r="F3" s="615" t="s">
        <v>2</v>
      </c>
      <c r="G3" s="135"/>
      <c r="H3" s="135"/>
      <c r="I3" s="135"/>
      <c r="J3" s="137"/>
      <c r="K3" s="38"/>
    </row>
    <row r="4" spans="2:18" x14ac:dyDescent="0.2">
      <c r="B4" s="134"/>
      <c r="C4" s="135"/>
      <c r="D4" s="135"/>
      <c r="E4" s="539" t="s">
        <v>564</v>
      </c>
      <c r="F4" s="653">
        <v>8</v>
      </c>
      <c r="G4" s="536" t="s">
        <v>89</v>
      </c>
      <c r="H4" s="135"/>
      <c r="I4" s="539" t="s">
        <v>21</v>
      </c>
      <c r="J4" s="137"/>
      <c r="K4" s="38"/>
    </row>
    <row r="5" spans="2:18" x14ac:dyDescent="0.2">
      <c r="B5" s="134"/>
      <c r="C5" s="135"/>
      <c r="D5" s="135"/>
      <c r="E5" s="539" t="s">
        <v>557</v>
      </c>
      <c r="F5" s="653">
        <v>7.75</v>
      </c>
      <c r="G5" s="536" t="s">
        <v>204</v>
      </c>
      <c r="H5" s="135"/>
      <c r="I5" s="135">
        <f>VLOOKUP($F$4+0.2499,'English LRFD'!L10:N54,2)</f>
        <v>7.75</v>
      </c>
      <c r="J5" s="508" t="s">
        <v>204</v>
      </c>
      <c r="K5" s="38"/>
    </row>
    <row r="6" spans="2:18" x14ac:dyDescent="0.2">
      <c r="B6" s="134"/>
      <c r="C6" s="135"/>
      <c r="D6" s="135"/>
      <c r="E6" s="539" t="s">
        <v>657</v>
      </c>
      <c r="F6" s="619">
        <v>1</v>
      </c>
      <c r="G6" s="536" t="s">
        <v>89</v>
      </c>
      <c r="H6" s="135"/>
      <c r="I6" s="135"/>
      <c r="J6" s="137"/>
      <c r="K6" s="38"/>
    </row>
    <row r="7" spans="2:18" x14ac:dyDescent="0.2">
      <c r="B7" s="134"/>
      <c r="C7" s="135"/>
      <c r="D7" s="135"/>
      <c r="E7" s="136" t="s">
        <v>73</v>
      </c>
      <c r="F7" s="615" t="s">
        <v>69</v>
      </c>
      <c r="G7" s="135"/>
      <c r="H7" s="135"/>
      <c r="I7" s="539" t="s">
        <v>21</v>
      </c>
      <c r="J7" s="137"/>
      <c r="K7" s="38"/>
    </row>
    <row r="8" spans="2:18" ht="15.75" x14ac:dyDescent="0.3">
      <c r="B8" s="134"/>
      <c r="C8" s="135"/>
      <c r="D8" s="135"/>
      <c r="E8" s="539" t="s">
        <v>571</v>
      </c>
      <c r="F8" s="653">
        <v>60</v>
      </c>
      <c r="G8" s="536" t="s">
        <v>52</v>
      </c>
      <c r="H8" s="135"/>
      <c r="I8" s="135">
        <v>60</v>
      </c>
      <c r="J8" s="508" t="s">
        <v>52</v>
      </c>
      <c r="K8" s="38"/>
    </row>
    <row r="9" spans="2:18" ht="15.75" x14ac:dyDescent="0.3">
      <c r="B9" s="134"/>
      <c r="C9" s="135"/>
      <c r="D9" s="135"/>
      <c r="E9" s="654" t="s">
        <v>570</v>
      </c>
      <c r="F9" s="653">
        <v>4</v>
      </c>
      <c r="G9" s="655" t="s">
        <v>52</v>
      </c>
      <c r="H9" s="135"/>
      <c r="I9" s="135">
        <v>4</v>
      </c>
      <c r="J9" s="656" t="s">
        <v>52</v>
      </c>
      <c r="K9" s="38"/>
    </row>
    <row r="10" spans="2:18" x14ac:dyDescent="0.2">
      <c r="B10" s="134"/>
      <c r="C10" s="135"/>
      <c r="D10" s="135"/>
      <c r="E10" s="136" t="s">
        <v>389</v>
      </c>
      <c r="F10" s="653">
        <v>2.5</v>
      </c>
      <c r="G10" s="536" t="s">
        <v>204</v>
      </c>
      <c r="H10" s="135"/>
      <c r="I10" s="135">
        <v>2.375</v>
      </c>
      <c r="J10" s="508" t="s">
        <v>204</v>
      </c>
      <c r="K10" s="38"/>
    </row>
    <row r="11" spans="2:18" x14ac:dyDescent="0.2">
      <c r="B11" s="134"/>
      <c r="C11" s="135"/>
      <c r="D11" s="135"/>
      <c r="E11" s="136" t="s">
        <v>658</v>
      </c>
      <c r="F11" s="653">
        <v>1</v>
      </c>
      <c r="G11" s="536" t="s">
        <v>204</v>
      </c>
      <c r="H11" s="135"/>
      <c r="I11" s="135">
        <v>1</v>
      </c>
      <c r="J11" s="508" t="s">
        <v>204</v>
      </c>
      <c r="K11" s="38"/>
    </row>
    <row r="12" spans="2:18" x14ac:dyDescent="0.2">
      <c r="B12" s="134"/>
      <c r="C12" s="135"/>
      <c r="D12" s="135"/>
      <c r="E12" s="539" t="s">
        <v>586</v>
      </c>
      <c r="F12" s="653">
        <v>0.5</v>
      </c>
      <c r="G12" s="657" t="s">
        <v>204</v>
      </c>
      <c r="H12" s="135"/>
      <c r="I12" s="135">
        <v>0.5</v>
      </c>
      <c r="J12" s="658" t="s">
        <v>204</v>
      </c>
      <c r="K12" s="565" t="s">
        <v>589</v>
      </c>
      <c r="L12" s="566" t="s">
        <v>588</v>
      </c>
    </row>
    <row r="13" spans="2:18" ht="15.75" x14ac:dyDescent="0.3">
      <c r="B13" s="134"/>
      <c r="C13" s="135"/>
      <c r="D13" s="135"/>
      <c r="E13" s="539" t="s">
        <v>591</v>
      </c>
      <c r="F13" s="653">
        <v>0.75</v>
      </c>
      <c r="G13" s="657" t="str">
        <f>IF(F13=0.75,"Class 2",IF(F13=1,"Class 1","Custom"))</f>
        <v>Class 2</v>
      </c>
      <c r="H13" s="135"/>
      <c r="I13" s="135">
        <v>0.75</v>
      </c>
      <c r="J13" s="658" t="s">
        <v>588</v>
      </c>
      <c r="K13" s="290">
        <v>1</v>
      </c>
      <c r="L13" s="291">
        <v>0.75</v>
      </c>
    </row>
    <row r="14" spans="2:18" x14ac:dyDescent="0.2">
      <c r="B14" s="134"/>
      <c r="C14" s="135"/>
      <c r="D14" s="135"/>
      <c r="E14" s="539"/>
      <c r="F14" s="693" t="s">
        <v>660</v>
      </c>
      <c r="G14" s="539"/>
      <c r="H14" s="135"/>
      <c r="I14" s="135"/>
      <c r="J14" s="137"/>
    </row>
    <row r="15" spans="2:18" ht="13.5" thickBot="1" x14ac:dyDescent="0.25">
      <c r="B15" s="155"/>
      <c r="C15" s="156"/>
      <c r="D15" s="156"/>
      <c r="E15" s="659" t="s">
        <v>659</v>
      </c>
      <c r="F15" s="660">
        <v>10</v>
      </c>
      <c r="G15" s="661" t="s">
        <v>204</v>
      </c>
      <c r="H15" s="156"/>
      <c r="I15" s="156">
        <f>VLOOKUP(F3,Q16:R24,2,FALSE)</f>
        <v>6.7</v>
      </c>
      <c r="J15" s="662" t="s">
        <v>204</v>
      </c>
      <c r="K15" s="38"/>
      <c r="Q15" s="502" t="s">
        <v>473</v>
      </c>
      <c r="R15" s="646" t="s">
        <v>572</v>
      </c>
    </row>
    <row r="16" spans="2:18" x14ac:dyDescent="0.2">
      <c r="B16" s="130" t="s">
        <v>558</v>
      </c>
      <c r="C16" s="131"/>
      <c r="D16" s="131"/>
      <c r="E16" s="131"/>
      <c r="F16" s="131"/>
      <c r="G16" s="131"/>
      <c r="H16" s="131"/>
      <c r="I16" s="131"/>
      <c r="J16" s="132"/>
      <c r="Q16" s="501" t="str">
        <f>'English LRFD'!C60</f>
        <v>MT-28</v>
      </c>
      <c r="R16" s="288">
        <v>12</v>
      </c>
    </row>
    <row r="17" spans="2:19" x14ac:dyDescent="0.2">
      <c r="B17" s="134"/>
      <c r="C17" s="663" t="s">
        <v>559</v>
      </c>
      <c r="D17" s="135"/>
      <c r="E17" s="135"/>
      <c r="F17" s="135"/>
      <c r="G17" s="135"/>
      <c r="H17" s="135"/>
      <c r="I17" s="135"/>
      <c r="J17" s="137"/>
      <c r="Q17" s="501" t="str">
        <f>'English LRFD'!C61</f>
        <v>A</v>
      </c>
      <c r="R17" s="288">
        <v>5.3</v>
      </c>
    </row>
    <row r="18" spans="2:19" x14ac:dyDescent="0.2">
      <c r="B18" s="134"/>
      <c r="C18" s="135"/>
      <c r="D18" s="663" t="s">
        <v>563</v>
      </c>
      <c r="E18" s="531" t="s">
        <v>231</v>
      </c>
      <c r="F18" s="531" t="s">
        <v>578</v>
      </c>
      <c r="G18" s="531" t="s">
        <v>384</v>
      </c>
      <c r="H18" s="135"/>
      <c r="I18" s="536" t="s">
        <v>21</v>
      </c>
      <c r="J18" s="137"/>
      <c r="Q18" s="501" t="str">
        <f>'English LRFD'!C62</f>
        <v>IV</v>
      </c>
      <c r="R18" s="288">
        <v>6.7</v>
      </c>
    </row>
    <row r="19" spans="2:19" x14ac:dyDescent="0.2">
      <c r="B19" s="134"/>
      <c r="C19" s="135"/>
      <c r="D19" s="539" t="s">
        <v>560</v>
      </c>
      <c r="E19" s="686">
        <f>I19</f>
        <v>0.62</v>
      </c>
      <c r="F19" s="135">
        <v>1.25</v>
      </c>
      <c r="G19" s="152">
        <f>F19*E19</f>
        <v>0.77500000000000002</v>
      </c>
      <c r="H19" s="664" t="s">
        <v>565</v>
      </c>
      <c r="I19" s="152">
        <f>F5/120*(F4^2)*0.15</f>
        <v>0.62</v>
      </c>
      <c r="J19" s="665" t="s">
        <v>565</v>
      </c>
      <c r="Q19" s="501" t="str">
        <f>'English LRFD'!C63</f>
        <v>M72</v>
      </c>
      <c r="R19" s="288">
        <v>10</v>
      </c>
    </row>
    <row r="20" spans="2:19" x14ac:dyDescent="0.2">
      <c r="B20" s="134"/>
      <c r="C20" s="135"/>
      <c r="D20" s="539" t="s">
        <v>561</v>
      </c>
      <c r="E20" s="686">
        <f t="shared" ref="E20:E22" si="0">I20</f>
        <v>0.128</v>
      </c>
      <c r="F20" s="135">
        <v>1.5</v>
      </c>
      <c r="G20" s="152">
        <f t="shared" ref="G20:G22" si="1">F20*E20</f>
        <v>0.192</v>
      </c>
      <c r="H20" s="664" t="s">
        <v>565</v>
      </c>
      <c r="I20" s="152">
        <f>0.002*(F4^2)</f>
        <v>0.128</v>
      </c>
      <c r="J20" s="665" t="s">
        <v>565</v>
      </c>
      <c r="Q20" s="501" t="str">
        <f>'English LRFD'!C64</f>
        <v>MTS-36</v>
      </c>
      <c r="R20" s="288">
        <v>15</v>
      </c>
    </row>
    <row r="21" spans="2:19" x14ac:dyDescent="0.2">
      <c r="B21" s="134"/>
      <c r="C21" s="135"/>
      <c r="D21" s="539" t="s">
        <v>562</v>
      </c>
      <c r="E21" s="686">
        <f t="shared" si="0"/>
        <v>5.69</v>
      </c>
      <c r="F21" s="135">
        <v>1.75</v>
      </c>
      <c r="G21" s="152">
        <f t="shared" si="1"/>
        <v>9.9575000000000014</v>
      </c>
      <c r="H21" s="664" t="s">
        <v>565</v>
      </c>
      <c r="I21" s="666">
        <f>VLOOKUP(F4+0.249,'English LRFD Working Area'!$C$10:$D$54,2)</f>
        <v>5.69</v>
      </c>
      <c r="J21" s="665" t="s">
        <v>565</v>
      </c>
      <c r="Q21" s="501" t="str">
        <f>'English LRFD'!C65</f>
        <v>MTS-45</v>
      </c>
      <c r="R21" s="288">
        <v>15</v>
      </c>
    </row>
    <row r="22" spans="2:19" x14ac:dyDescent="0.2">
      <c r="B22" s="134"/>
      <c r="C22" s="135"/>
      <c r="D22" s="539" t="s">
        <v>86</v>
      </c>
      <c r="E22" s="687">
        <f t="shared" si="0"/>
        <v>0</v>
      </c>
      <c r="F22" s="653">
        <v>1</v>
      </c>
      <c r="G22" s="691">
        <f t="shared" si="1"/>
        <v>0</v>
      </c>
      <c r="H22" s="664" t="s">
        <v>565</v>
      </c>
      <c r="I22" s="691">
        <v>0</v>
      </c>
      <c r="J22" s="665" t="s">
        <v>565</v>
      </c>
      <c r="Q22" s="501" t="str">
        <f>'English LRFD'!C66</f>
        <v>MTS-54</v>
      </c>
      <c r="R22" s="288">
        <v>15</v>
      </c>
    </row>
    <row r="23" spans="2:19" x14ac:dyDescent="0.2">
      <c r="B23" s="134"/>
      <c r="C23" s="135"/>
      <c r="D23" s="135"/>
      <c r="E23" s="688">
        <f>SUM(E19:E22)</f>
        <v>6.4380000000000006</v>
      </c>
      <c r="F23" s="135"/>
      <c r="G23" s="688">
        <f>SUM(G19:G22)</f>
        <v>10.924500000000002</v>
      </c>
      <c r="H23" s="664"/>
      <c r="I23" s="688">
        <f>SUM(I19:I22)</f>
        <v>6.4380000000000006</v>
      </c>
      <c r="J23" s="665"/>
      <c r="Q23" s="501" t="str">
        <f>'English LRFD'!C67</f>
        <v>MTS-72</v>
      </c>
      <c r="R23" s="288">
        <v>15</v>
      </c>
    </row>
    <row r="24" spans="2:19" x14ac:dyDescent="0.2">
      <c r="B24" s="134"/>
      <c r="C24" s="663" t="s">
        <v>566</v>
      </c>
      <c r="D24" s="135"/>
      <c r="E24" s="152"/>
      <c r="F24" s="135"/>
      <c r="G24" s="152"/>
      <c r="H24" s="664"/>
      <c r="I24" s="152"/>
      <c r="J24" s="665"/>
      <c r="Q24" s="405" t="str">
        <f>'English LRFD'!C68</f>
        <v>Steel</v>
      </c>
      <c r="R24" s="291">
        <v>3</v>
      </c>
    </row>
    <row r="25" spans="2:19" x14ac:dyDescent="0.2">
      <c r="B25" s="134"/>
      <c r="C25" s="135"/>
      <c r="D25" s="663" t="s">
        <v>563</v>
      </c>
      <c r="E25" s="689" t="s">
        <v>231</v>
      </c>
      <c r="F25" s="531" t="s">
        <v>578</v>
      </c>
      <c r="G25" s="689" t="s">
        <v>384</v>
      </c>
      <c r="H25" s="664"/>
      <c r="I25" s="666" t="s">
        <v>21</v>
      </c>
      <c r="J25" s="665"/>
    </row>
    <row r="26" spans="2:19" x14ac:dyDescent="0.2">
      <c r="B26" s="134"/>
      <c r="C26" s="135"/>
      <c r="D26" s="539" t="s">
        <v>560</v>
      </c>
      <c r="E26" s="686">
        <f>I26</f>
        <v>0.62</v>
      </c>
      <c r="F26" s="135">
        <v>1.25</v>
      </c>
      <c r="G26" s="152">
        <f>F26*E26</f>
        <v>0.77500000000000002</v>
      </c>
      <c r="H26" s="664" t="s">
        <v>565</v>
      </c>
      <c r="I26" s="152">
        <f>F5/120*(F4^2)*0.15</f>
        <v>0.62</v>
      </c>
      <c r="J26" s="665" t="s">
        <v>565</v>
      </c>
      <c r="Q26" s="647" t="str">
        <f>S26</f>
        <v>Column</v>
      </c>
      <c r="R26" s="651" t="s">
        <v>572</v>
      </c>
      <c r="S26" s="647" t="s">
        <v>500</v>
      </c>
    </row>
    <row r="27" spans="2:19" x14ac:dyDescent="0.2">
      <c r="B27" s="134"/>
      <c r="C27" s="135"/>
      <c r="D27" s="539" t="s">
        <v>561</v>
      </c>
      <c r="E27" s="686">
        <f t="shared" ref="E27:E29" si="2">I27</f>
        <v>0.128</v>
      </c>
      <c r="F27" s="135">
        <v>1.5</v>
      </c>
      <c r="G27" s="152">
        <f t="shared" ref="G27:G29" si="3">F27*E27</f>
        <v>0.192</v>
      </c>
      <c r="H27" s="664" t="s">
        <v>565</v>
      </c>
      <c r="I27" s="152">
        <f>0.002*(F4^2)</f>
        <v>0.128</v>
      </c>
      <c r="J27" s="665" t="s">
        <v>565</v>
      </c>
      <c r="Q27" s="403">
        <f t="shared" ref="Q27:Q37" si="4">S27</f>
        <v>3</v>
      </c>
      <c r="R27" s="648">
        <v>0</v>
      </c>
      <c r="S27" s="403">
        <v>3</v>
      </c>
    </row>
    <row r="28" spans="2:19" x14ac:dyDescent="0.2">
      <c r="B28" s="134"/>
      <c r="C28" s="135"/>
      <c r="D28" s="539" t="s">
        <v>562</v>
      </c>
      <c r="E28" s="686">
        <f t="shared" si="2"/>
        <v>3.7966666666666664</v>
      </c>
      <c r="F28" s="135">
        <v>1.75</v>
      </c>
      <c r="G28" s="152">
        <f t="shared" si="3"/>
        <v>6.6441666666666661</v>
      </c>
      <c r="H28" s="664" t="s">
        <v>565</v>
      </c>
      <c r="I28" s="666">
        <f>S41</f>
        <v>3.7966666666666664</v>
      </c>
      <c r="J28" s="665" t="str">
        <f>"k-ft/ft @ "&amp;F15&amp;" in"</f>
        <v>k-ft/ft @ 10 in</v>
      </c>
      <c r="Q28" s="467">
        <f t="shared" si="4"/>
        <v>4</v>
      </c>
      <c r="R28" s="649">
        <v>3</v>
      </c>
      <c r="S28" s="467">
        <v>4</v>
      </c>
    </row>
    <row r="29" spans="2:19" x14ac:dyDescent="0.2">
      <c r="B29" s="134"/>
      <c r="C29" s="135"/>
      <c r="D29" s="539" t="s">
        <v>86</v>
      </c>
      <c r="E29" s="687">
        <f t="shared" si="2"/>
        <v>0</v>
      </c>
      <c r="F29" s="653">
        <v>1</v>
      </c>
      <c r="G29" s="691">
        <f t="shared" si="3"/>
        <v>0</v>
      </c>
      <c r="H29" s="664" t="s">
        <v>565</v>
      </c>
      <c r="I29" s="691">
        <v>0</v>
      </c>
      <c r="J29" s="665" t="s">
        <v>565</v>
      </c>
      <c r="Q29" s="467">
        <f t="shared" si="4"/>
        <v>5</v>
      </c>
      <c r="R29" s="649">
        <v>5.3</v>
      </c>
      <c r="S29" s="467">
        <v>5</v>
      </c>
    </row>
    <row r="30" spans="2:19" ht="13.5" thickBot="1" x14ac:dyDescent="0.25">
      <c r="B30" s="155"/>
      <c r="C30" s="156"/>
      <c r="D30" s="156"/>
      <c r="E30" s="690">
        <f>SUM(E26:E29)</f>
        <v>4.5446666666666662</v>
      </c>
      <c r="F30" s="156"/>
      <c r="G30" s="690">
        <f>SUM(G26:G29)</f>
        <v>7.6111666666666657</v>
      </c>
      <c r="H30" s="156"/>
      <c r="I30" s="690">
        <f>SUM(I26:I29)</f>
        <v>4.5446666666666662</v>
      </c>
      <c r="J30" s="510"/>
      <c r="K30" s="682" t="s">
        <v>590</v>
      </c>
      <c r="L30" s="103"/>
      <c r="M30" s="280"/>
      <c r="Q30" s="467">
        <f t="shared" si="4"/>
        <v>6</v>
      </c>
      <c r="R30" s="649">
        <v>6</v>
      </c>
      <c r="S30" s="467">
        <v>6</v>
      </c>
    </row>
    <row r="31" spans="2:19" x14ac:dyDescent="0.2">
      <c r="B31" s="130" t="s">
        <v>577</v>
      </c>
      <c r="C31" s="131"/>
      <c r="D31" s="131"/>
      <c r="E31" s="131"/>
      <c r="F31" s="131"/>
      <c r="G31" s="131"/>
      <c r="H31" s="730" t="s">
        <v>581</v>
      </c>
      <c r="I31" s="730"/>
      <c r="J31" s="731"/>
      <c r="K31" s="676" t="s">
        <v>587</v>
      </c>
      <c r="L31" s="38"/>
      <c r="M31" s="477"/>
      <c r="Q31" s="467">
        <f t="shared" si="4"/>
        <v>7</v>
      </c>
      <c r="R31" s="649">
        <v>6.7</v>
      </c>
      <c r="S31" s="467">
        <v>7</v>
      </c>
    </row>
    <row r="32" spans="2:19" x14ac:dyDescent="0.2">
      <c r="B32" s="134"/>
      <c r="C32" s="135"/>
      <c r="D32" s="135"/>
      <c r="E32" s="693" t="s">
        <v>606</v>
      </c>
      <c r="F32" s="135"/>
      <c r="G32" s="135"/>
      <c r="H32" s="671" t="s">
        <v>567</v>
      </c>
      <c r="I32" s="671" t="s">
        <v>58</v>
      </c>
      <c r="J32" s="672" t="s">
        <v>569</v>
      </c>
      <c r="K32" s="675" t="s">
        <v>547</v>
      </c>
      <c r="L32" s="675" t="s">
        <v>361</v>
      </c>
      <c r="M32" s="477"/>
      <c r="Q32" s="467">
        <f t="shared" si="4"/>
        <v>8</v>
      </c>
      <c r="R32" s="649">
        <v>9</v>
      </c>
      <c r="S32" s="467">
        <v>8</v>
      </c>
    </row>
    <row r="33" spans="2:19" x14ac:dyDescent="0.2">
      <c r="B33" s="134"/>
      <c r="C33" s="654" t="s">
        <v>604</v>
      </c>
      <c r="D33" s="619" t="s">
        <v>41</v>
      </c>
      <c r="E33" s="692" t="s">
        <v>18</v>
      </c>
      <c r="F33" s="700">
        <v>5.25</v>
      </c>
      <c r="G33" s="536" t="s">
        <v>204</v>
      </c>
      <c r="H33" s="694">
        <f>'Custom Design Top'!I7</f>
        <v>10.25</v>
      </c>
      <c r="I33" s="694">
        <f>'Custom Design Top'!I3</f>
        <v>10.75</v>
      </c>
      <c r="J33" s="695">
        <f>VLOOKUP(F6,'English LRFD'!BU10:CV29,'English LRFD'!CO42,TRUE)</f>
        <v>5.5</v>
      </c>
      <c r="K33" s="677">
        <f>'Custom Design Top'!I49</f>
        <v>26.616701619280089</v>
      </c>
      <c r="L33" s="676">
        <f>'Custom Design Top'!E49</f>
        <v>17.649999999999999</v>
      </c>
      <c r="M33" s="678" t="str">
        <f>IF(L33&gt;K33,"N.G.","OK")</f>
        <v>OK</v>
      </c>
      <c r="Q33" s="467">
        <f t="shared" si="4"/>
        <v>9</v>
      </c>
      <c r="R33" s="649">
        <v>10</v>
      </c>
      <c r="S33" s="467">
        <v>9</v>
      </c>
    </row>
    <row r="34" spans="2:19" ht="13.5" thickBot="1" x14ac:dyDescent="0.25">
      <c r="B34" s="155"/>
      <c r="C34" s="667" t="s">
        <v>605</v>
      </c>
      <c r="D34" s="616" t="s">
        <v>41</v>
      </c>
      <c r="E34" s="669" t="s">
        <v>18</v>
      </c>
      <c r="F34" s="701">
        <v>8.5</v>
      </c>
      <c r="G34" s="517" t="s">
        <v>204</v>
      </c>
      <c r="H34" s="696">
        <f>'Custom Design Bottom'!I7</f>
        <v>8.5</v>
      </c>
      <c r="I34" s="696">
        <f>'Custom Design Bottom'!I3</f>
        <v>9.5</v>
      </c>
      <c r="J34" s="697">
        <v>100</v>
      </c>
      <c r="K34" s="679">
        <f>'Custom Design Bottom'!I49</f>
        <v>35.865168539325843</v>
      </c>
      <c r="L34" s="680">
        <f>'Custom Design Bottom'!E49</f>
        <v>32.589999999999996</v>
      </c>
      <c r="M34" s="681" t="str">
        <f>IF(L34&gt;K34,"N.G.","OK")</f>
        <v>OK</v>
      </c>
      <c r="Q34" s="467">
        <f t="shared" si="4"/>
        <v>10</v>
      </c>
      <c r="R34" s="649">
        <v>12</v>
      </c>
      <c r="S34" s="467">
        <v>10</v>
      </c>
    </row>
    <row r="35" spans="2:19" x14ac:dyDescent="0.2">
      <c r="B35" s="130" t="s">
        <v>580</v>
      </c>
      <c r="C35" s="131"/>
      <c r="D35" s="131"/>
      <c r="E35" s="131"/>
      <c r="F35" s="131"/>
      <c r="G35" s="131"/>
      <c r="H35" s="131"/>
      <c r="I35" s="131" t="s">
        <v>21</v>
      </c>
      <c r="J35" s="132"/>
      <c r="Q35" s="467">
        <f t="shared" si="4"/>
        <v>11</v>
      </c>
      <c r="R35" s="649">
        <v>15</v>
      </c>
      <c r="S35" s="467">
        <v>11</v>
      </c>
    </row>
    <row r="36" spans="2:19" x14ac:dyDescent="0.2">
      <c r="B36" s="134"/>
      <c r="C36" s="135"/>
      <c r="D36" s="539" t="s">
        <v>597</v>
      </c>
      <c r="E36" s="653">
        <v>48</v>
      </c>
      <c r="F36" s="135" t="s">
        <v>204</v>
      </c>
      <c r="G36" s="135"/>
      <c r="H36" s="135"/>
      <c r="I36" s="135">
        <f>VLOOKUP(F3,'Custom Design Bottom'!W46:Z54,2,FALSE)*12</f>
        <v>20</v>
      </c>
      <c r="J36" s="137" t="s">
        <v>204</v>
      </c>
      <c r="Q36" s="467">
        <f t="shared" si="4"/>
        <v>12</v>
      </c>
      <c r="R36" s="649">
        <v>18</v>
      </c>
      <c r="S36" s="467">
        <v>12</v>
      </c>
    </row>
    <row r="37" spans="2:19" x14ac:dyDescent="0.2">
      <c r="B37" s="134"/>
      <c r="C37" s="135"/>
      <c r="D37" s="539" t="s">
        <v>598</v>
      </c>
      <c r="E37" s="653">
        <v>6</v>
      </c>
      <c r="F37" s="135" t="s">
        <v>204</v>
      </c>
      <c r="G37" s="135"/>
      <c r="H37" s="135"/>
      <c r="I37" s="135">
        <f>VLOOKUP(F3,'Custom Design Bottom'!W46:Z54,3,FALSE)*12</f>
        <v>7.9999991999999995</v>
      </c>
      <c r="J37" s="137" t="s">
        <v>204</v>
      </c>
      <c r="Q37" s="407">
        <f t="shared" si="4"/>
        <v>13</v>
      </c>
      <c r="R37" s="650">
        <v>24</v>
      </c>
      <c r="S37" s="407">
        <v>13</v>
      </c>
    </row>
    <row r="38" spans="2:19" x14ac:dyDescent="0.2">
      <c r="B38" s="134"/>
      <c r="C38" s="135"/>
      <c r="D38" s="136" t="s">
        <v>7</v>
      </c>
      <c r="E38" s="135">
        <f>F4-E36/12+(E36-E37)/2/12</f>
        <v>5.75</v>
      </c>
      <c r="F38" s="135" t="s">
        <v>89</v>
      </c>
      <c r="G38" s="135"/>
      <c r="H38" s="135"/>
      <c r="I38" s="135">
        <f>F4-I36/12+(I36-I37)/2/12</f>
        <v>6.8333333666666665</v>
      </c>
      <c r="J38" s="137" t="s">
        <v>89</v>
      </c>
      <c r="Q38" s="651" t="s">
        <v>572</v>
      </c>
      <c r="R38" s="647" t="s">
        <v>500</v>
      </c>
      <c r="S38" s="647" t="s">
        <v>573</v>
      </c>
    </row>
    <row r="39" spans="2:19" x14ac:dyDescent="0.2">
      <c r="B39" s="134"/>
      <c r="C39" s="135"/>
      <c r="D39" s="136" t="s">
        <v>574</v>
      </c>
      <c r="E39" s="668">
        <f>IF(220/$E38^0.5/100&gt;0.67,0.67,220/$E38^0.5/100)</f>
        <v>0.67</v>
      </c>
      <c r="F39" s="536" t="s">
        <v>576</v>
      </c>
      <c r="G39" s="135"/>
      <c r="H39" s="135"/>
      <c r="I39" s="668">
        <f>IF(220/$I38^0.5/100&gt;0.67,0.67,220/$I38^0.5/100)</f>
        <v>0.67</v>
      </c>
      <c r="J39" s="137"/>
      <c r="Q39" s="403">
        <f>VLOOKUP(R39,$Q$27:$R$37,2)</f>
        <v>10</v>
      </c>
      <c r="R39" s="403">
        <f>VLOOKUP(F15,$R$27:$S$37,2)</f>
        <v>9</v>
      </c>
      <c r="S39" s="404">
        <f>VLOOKUP(F4+0.249,'English LRFD Working Area'!$C$10:$O$54,'Custom Design'!R39,TRUE)</f>
        <v>3.7966666666666669</v>
      </c>
    </row>
    <row r="40" spans="2:19" ht="13.5" thickBot="1" x14ac:dyDescent="0.25">
      <c r="B40" s="155"/>
      <c r="C40" s="156"/>
      <c r="D40" s="667" t="s">
        <v>575</v>
      </c>
      <c r="E40" s="616" t="s">
        <v>40</v>
      </c>
      <c r="F40" s="669" t="s">
        <v>398</v>
      </c>
      <c r="G40" s="670">
        <f>INT(VLOOKUP(E40,'Bar Sizes'!$D$26:$F$36,3,FALSE)/VLOOKUP(D34,'Bar Sizes'!$D$26:$F$36,3,FALSE)/E39*F34*16+0.95)/16</f>
        <v>8.1875</v>
      </c>
      <c r="H40" s="156" t="s">
        <v>204</v>
      </c>
      <c r="I40" s="156"/>
      <c r="J40" s="510"/>
      <c r="Q40" s="407">
        <f>VLOOKUP(R40,$Q$27:$R$37,2)</f>
        <v>12</v>
      </c>
      <c r="R40" s="407">
        <f>IF(R39=S37,S37-1,R39+1)</f>
        <v>10</v>
      </c>
      <c r="S40" s="405">
        <f>VLOOKUP(F4+0.249,'English LRFD Working Area'!$C$10:$O$54,'Custom Design'!R40,TRUE)</f>
        <v>3.43</v>
      </c>
    </row>
    <row r="41" spans="2:19" x14ac:dyDescent="0.2">
      <c r="I41" s="2" t="str">
        <f>'LRFD Deck Charts'!S57</f>
        <v>Version 1 Released</v>
      </c>
      <c r="J41" s="563">
        <f>'LRFD Deck Charts'!T57</f>
        <v>42164</v>
      </c>
      <c r="Q41" s="702">
        <f>F15</f>
        <v>10</v>
      </c>
      <c r="R41" s="228"/>
      <c r="S41" s="652">
        <f>Q41*SLOPE(S39:S40,Q39:Q40)+INTERCEPT(S39:S40,Q39:Q40)</f>
        <v>3.7966666666666664</v>
      </c>
    </row>
    <row r="42" spans="2:19" x14ac:dyDescent="0.2">
      <c r="B42" s="279" t="s">
        <v>579</v>
      </c>
      <c r="C42" s="103"/>
      <c r="D42" s="103"/>
      <c r="E42" s="103"/>
      <c r="F42" s="103"/>
      <c r="G42" s="103"/>
      <c r="H42" s="103"/>
      <c r="I42" s="103"/>
      <c r="J42" s="280"/>
    </row>
    <row r="43" spans="2:19" x14ac:dyDescent="0.2">
      <c r="B43" s="476"/>
      <c r="C43" s="676" t="s">
        <v>411</v>
      </c>
      <c r="D43" s="38"/>
      <c r="E43" s="38"/>
      <c r="F43" s="38"/>
      <c r="G43" s="38"/>
      <c r="H43" s="38"/>
      <c r="I43" s="38"/>
      <c r="J43" s="477"/>
    </row>
    <row r="44" spans="2:19" x14ac:dyDescent="0.2">
      <c r="B44" s="476"/>
      <c r="C44" s="676" t="s">
        <v>412</v>
      </c>
      <c r="D44" s="38"/>
      <c r="E44" s="38"/>
      <c r="F44" s="38"/>
      <c r="G44" s="38"/>
      <c r="H44" s="38"/>
      <c r="I44" s="38"/>
      <c r="J44" s="477"/>
    </row>
    <row r="45" spans="2:19" x14ac:dyDescent="0.2">
      <c r="B45" s="476"/>
      <c r="C45" s="676" t="s">
        <v>603</v>
      </c>
      <c r="D45" s="38"/>
      <c r="E45" s="38"/>
      <c r="F45" s="38"/>
      <c r="G45" s="38"/>
      <c r="H45" s="38"/>
      <c r="I45" s="38"/>
      <c r="J45" s="477"/>
    </row>
    <row r="46" spans="2:19" x14ac:dyDescent="0.2">
      <c r="B46" s="476"/>
      <c r="C46" s="698" t="s">
        <v>601</v>
      </c>
      <c r="D46" s="38"/>
      <c r="E46" s="38"/>
      <c r="F46" s="38"/>
      <c r="G46" s="38"/>
      <c r="H46" s="38"/>
      <c r="I46" s="38"/>
      <c r="J46" s="477"/>
    </row>
    <row r="47" spans="2:19" ht="12" customHeight="1" x14ac:dyDescent="0.2">
      <c r="B47" s="476"/>
      <c r="C47" s="698" t="s">
        <v>602</v>
      </c>
      <c r="D47" s="38"/>
      <c r="E47" s="38"/>
      <c r="F47" s="38"/>
      <c r="G47" s="38"/>
      <c r="H47" s="38"/>
      <c r="I47" s="38"/>
      <c r="J47" s="477"/>
      <c r="O47" s="644"/>
    </row>
    <row r="48" spans="2:19" ht="12" customHeight="1" x14ac:dyDescent="0.2">
      <c r="B48" s="476"/>
      <c r="C48" s="698" t="s">
        <v>599</v>
      </c>
      <c r="D48" s="38"/>
      <c r="E48" s="38"/>
      <c r="F48" s="38"/>
      <c r="G48" s="38"/>
      <c r="H48" s="38"/>
      <c r="I48" s="38"/>
      <c r="J48" s="477"/>
    </row>
    <row r="49" spans="2:10" ht="12" customHeight="1" x14ac:dyDescent="0.2">
      <c r="B49" s="476"/>
      <c r="C49" s="698" t="s">
        <v>600</v>
      </c>
      <c r="D49" s="38"/>
      <c r="E49" s="38"/>
      <c r="F49" s="38"/>
      <c r="G49" s="38"/>
      <c r="H49" s="38"/>
      <c r="I49" s="38"/>
      <c r="J49" s="477"/>
    </row>
    <row r="50" spans="2:10" ht="12" customHeight="1" x14ac:dyDescent="0.2">
      <c r="B50" s="476"/>
      <c r="C50" s="698" t="s">
        <v>460</v>
      </c>
      <c r="D50" s="38"/>
      <c r="E50" s="38"/>
      <c r="F50" s="38"/>
      <c r="G50" s="38"/>
      <c r="H50" s="38"/>
      <c r="I50" s="38"/>
      <c r="J50" s="477"/>
    </row>
    <row r="51" spans="2:10" ht="12" customHeight="1" x14ac:dyDescent="0.2">
      <c r="B51" s="476"/>
      <c r="C51" s="676" t="s">
        <v>556</v>
      </c>
      <c r="D51" s="38"/>
      <c r="E51" s="38"/>
      <c r="F51" s="38"/>
      <c r="G51" s="38"/>
      <c r="H51" s="38"/>
      <c r="I51" s="38"/>
      <c r="J51" s="477"/>
    </row>
    <row r="52" spans="2:10" ht="12" customHeight="1" x14ac:dyDescent="0.2">
      <c r="B52" s="476"/>
      <c r="C52" s="698" t="s">
        <v>595</v>
      </c>
      <c r="D52" s="38"/>
      <c r="E52" s="38"/>
      <c r="F52" s="38"/>
      <c r="G52" s="38"/>
      <c r="H52" s="38"/>
      <c r="I52" s="38"/>
      <c r="J52" s="477"/>
    </row>
    <row r="53" spans="2:10" ht="12" customHeight="1" x14ac:dyDescent="0.2">
      <c r="B53" s="281"/>
      <c r="C53" s="699" t="s">
        <v>596</v>
      </c>
      <c r="D53" s="282"/>
      <c r="E53" s="282"/>
      <c r="F53" s="282"/>
      <c r="G53" s="282"/>
      <c r="H53" s="282"/>
      <c r="I53" s="282"/>
      <c r="J53" s="283"/>
    </row>
    <row r="54" spans="2:10" ht="12" customHeight="1" x14ac:dyDescent="0.2"/>
    <row r="55" spans="2:10" ht="12" customHeight="1" x14ac:dyDescent="0.2"/>
    <row r="56" spans="2:10" ht="12" customHeight="1" x14ac:dyDescent="0.2"/>
    <row r="57" spans="2:10" ht="12" customHeight="1" x14ac:dyDescent="0.2"/>
  </sheetData>
  <sheetProtection password="87D3" sheet="1" objects="1" scenarios="1"/>
  <mergeCells count="1">
    <mergeCell ref="H31:J31"/>
  </mergeCells>
  <conditionalFormatting sqref="F33:F34">
    <cfRule type="cellIs" dxfId="12" priority="4" operator="greaterThan">
      <formula>I33</formula>
    </cfRule>
    <cfRule type="cellIs" dxfId="11" priority="5" operator="greaterThan">
      <formula>H33</formula>
    </cfRule>
  </conditionalFormatting>
  <conditionalFormatting sqref="F33">
    <cfRule type="cellIs" dxfId="10" priority="3" operator="greaterThan">
      <formula>J33</formula>
    </cfRule>
  </conditionalFormatting>
  <conditionalFormatting sqref="H33:J34">
    <cfRule type="cellIs" dxfId="9" priority="6" operator="lessThan">
      <formula>$F33</formula>
    </cfRule>
  </conditionalFormatting>
  <conditionalFormatting sqref="L33:L34">
    <cfRule type="cellIs" dxfId="8" priority="7" operator="greaterThan">
      <formula>$K33</formula>
    </cfRule>
  </conditionalFormatting>
  <dataValidations count="6">
    <dataValidation type="list" showInputMessage="1" showErrorMessage="1" sqref="E40">
      <formula1>$P$16:$P$18</formula1>
    </dataValidation>
    <dataValidation type="decimal" showInputMessage="1" showErrorMessage="1" promptTitle="Overhang" prompt="CL Ext Bm to Face of Rail, Ft." sqref="F6">
      <formula1>0</formula1>
      <formula2>6</formula2>
    </dataValidation>
    <dataValidation type="list" showInputMessage="1" showErrorMessage="1" promptTitle="Rail Type" prompt="SL-5  Barrier_x000a_SL-6  T-101_x000a_SL-7  Box Rail" sqref="F7">
      <formula1>RailTypes</formula1>
    </dataValidation>
    <dataValidation type="list" showInputMessage="1" showErrorMessage="1" promptTitle="Beam Type" prompt="MT-28_x000a_A_x000a_IV_x000a_M72_x000a_MTS-36_x000a_MTS-45_x000a_MTS-54_x000a_MTS-72_x000a_Steel" sqref="F3">
      <formula1>Beam_List</formula1>
    </dataValidation>
    <dataValidation type="list" showInputMessage="1" showErrorMessage="1" sqref="D33:D34">
      <formula1>SlabBarSizes</formula1>
    </dataValidation>
    <dataValidation type="list" allowBlank="1" showInputMessage="1" showErrorMessage="1" sqref="F13">
      <formula1>$K$13:$L$13</formula1>
    </dataValidation>
  </dataValidations>
  <printOptions horizontalCentered="1"/>
  <pageMargins left="0.7" right="0.7" top="0.75" bottom="0.75" header="0.3" footer="0.3"/>
  <pageSetup orientation="portrait" r:id="rId1"/>
  <headerFooter>
    <oddHeader>&amp;L&amp;14MDT&amp;C&amp;14LRFD Bridge Deck Design&amp;R&amp;14Bridge Bureau</oddHeader>
    <oddFooter>&amp;L&amp;F&amp;C&amp;P&amp;R&amp;D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CV113"/>
  <sheetViews>
    <sheetView zoomScaleNormal="100" workbookViewId="0">
      <selection activeCell="D7" sqref="D7"/>
    </sheetView>
  </sheetViews>
  <sheetFormatPr defaultRowHeight="12.75" x14ac:dyDescent="0.2"/>
  <cols>
    <col min="2" max="3" width="9.42578125" bestFit="1" customWidth="1"/>
    <col min="4" max="4" width="11.28515625" bestFit="1" customWidth="1"/>
    <col min="5" max="5" width="10.7109375" bestFit="1" customWidth="1"/>
    <col min="6" max="6" width="10" bestFit="1" customWidth="1"/>
    <col min="7" max="7" width="10.5703125" bestFit="1" customWidth="1"/>
    <col min="8" max="8" width="10.140625" bestFit="1" customWidth="1"/>
    <col min="9" max="9" width="11.28515625" bestFit="1" customWidth="1"/>
    <col min="10" max="10" width="9.42578125" bestFit="1" customWidth="1"/>
    <col min="12" max="22" width="9.42578125" bestFit="1" customWidth="1"/>
    <col min="23" max="23" width="9.28515625" bestFit="1" customWidth="1"/>
    <col min="73" max="73" width="11.85546875" bestFit="1" customWidth="1"/>
    <col min="74" max="74" width="9.42578125" bestFit="1" customWidth="1"/>
    <col min="75" max="86" width="9.42578125" customWidth="1"/>
    <col min="87" max="87" width="11.85546875" bestFit="1" customWidth="1"/>
    <col min="88" max="88" width="9.42578125" bestFit="1" customWidth="1"/>
    <col min="89" max="100" width="9.42578125" customWidth="1"/>
  </cols>
  <sheetData>
    <row r="1" spans="2:100" ht="13.5" thickBot="1" x14ac:dyDescent="0.25"/>
    <row r="2" spans="2:100" x14ac:dyDescent="0.2">
      <c r="B2" s="3"/>
      <c r="C2" s="4"/>
      <c r="D2" s="4"/>
      <c r="E2" s="446" t="s">
        <v>454</v>
      </c>
      <c r="F2" s="443">
        <f>'English LRFD Working Area'!AB2</f>
        <v>2.5</v>
      </c>
      <c r="G2" s="444" t="s">
        <v>204</v>
      </c>
      <c r="L2" s="3"/>
      <c r="M2" s="4"/>
      <c r="N2" s="4"/>
      <c r="O2" s="446" t="s">
        <v>454</v>
      </c>
      <c r="P2" s="443">
        <f>F2</f>
        <v>2.5</v>
      </c>
      <c r="Q2" s="444" t="s">
        <v>204</v>
      </c>
      <c r="S2" s="429" t="s">
        <v>638</v>
      </c>
      <c r="Z2" t="s">
        <v>411</v>
      </c>
    </row>
    <row r="3" spans="2:100" ht="14.25" x14ac:dyDescent="0.2">
      <c r="B3" s="37"/>
      <c r="C3" s="38"/>
      <c r="D3" s="38"/>
      <c r="E3" s="447" t="s">
        <v>455</v>
      </c>
      <c r="F3" s="442">
        <f>'English LRFD Working Area'!AD2</f>
        <v>0.5</v>
      </c>
      <c r="G3" s="445" t="s">
        <v>204</v>
      </c>
      <c r="L3" s="37"/>
      <c r="M3" s="38"/>
      <c r="N3" s="38"/>
      <c r="O3" s="447" t="s">
        <v>455</v>
      </c>
      <c r="P3" s="442">
        <f t="shared" ref="P3:P5" si="0">F3</f>
        <v>0.5</v>
      </c>
      <c r="Q3" s="445" t="s">
        <v>204</v>
      </c>
      <c r="Z3" t="s">
        <v>412</v>
      </c>
      <c r="CB3" s="538" t="s">
        <v>481</v>
      </c>
    </row>
    <row r="4" spans="2:100" ht="15" thickBot="1" x14ac:dyDescent="0.25">
      <c r="B4" s="35"/>
      <c r="C4" s="36"/>
      <c r="D4" s="36"/>
      <c r="E4" s="448" t="s">
        <v>453</v>
      </c>
      <c r="F4" s="450">
        <f>'English LRFD Working Area'!AB3</f>
        <v>1</v>
      </c>
      <c r="G4" s="451" t="s">
        <v>204</v>
      </c>
      <c r="L4" s="35"/>
      <c r="M4" s="36"/>
      <c r="N4" s="36"/>
      <c r="O4" s="448" t="s">
        <v>453</v>
      </c>
      <c r="P4" s="450">
        <f t="shared" si="0"/>
        <v>1</v>
      </c>
      <c r="Q4" s="451" t="s">
        <v>204</v>
      </c>
      <c r="S4" s="449">
        <f>VLOOKUP($P10,$U$76:$V$78,2,FALSE)</f>
        <v>15</v>
      </c>
      <c r="T4" s="455" t="s">
        <v>457</v>
      </c>
      <c r="Z4" t="s">
        <v>413</v>
      </c>
      <c r="CB4" s="538" t="s">
        <v>482</v>
      </c>
    </row>
    <row r="5" spans="2:100" ht="16.5" thickBot="1" x14ac:dyDescent="0.35">
      <c r="B5" s="453" t="s">
        <v>458</v>
      </c>
      <c r="C5" s="302">
        <f>'Find Required Area of Steel'!E6</f>
        <v>60</v>
      </c>
      <c r="D5" s="452" t="s">
        <v>52</v>
      </c>
      <c r="E5" s="448" t="s">
        <v>456</v>
      </c>
      <c r="F5" s="302">
        <f>'Find Required Area of Steel'!E5</f>
        <v>4</v>
      </c>
      <c r="G5" s="13" t="s">
        <v>52</v>
      </c>
      <c r="L5" s="453" t="s">
        <v>458</v>
      </c>
      <c r="M5" s="302">
        <f>'Find Required Area of Steel'!E6</f>
        <v>60</v>
      </c>
      <c r="N5" s="452" t="s">
        <v>52</v>
      </c>
      <c r="O5" s="448" t="s">
        <v>366</v>
      </c>
      <c r="P5" s="302">
        <f t="shared" si="0"/>
        <v>4</v>
      </c>
      <c r="Q5" s="13" t="s">
        <v>52</v>
      </c>
      <c r="AF5" s="456" t="s">
        <v>406</v>
      </c>
      <c r="AP5" s="456" t="s">
        <v>463</v>
      </c>
    </row>
    <row r="6" spans="2:100" ht="15" thickBot="1" x14ac:dyDescent="0.25">
      <c r="L6" s="228">
        <v>1</v>
      </c>
      <c r="M6" s="228">
        <v>2</v>
      </c>
      <c r="N6" s="228">
        <v>3</v>
      </c>
      <c r="O6" s="228">
        <v>4</v>
      </c>
      <c r="P6" s="228">
        <v>5</v>
      </c>
      <c r="Q6" s="228">
        <v>6</v>
      </c>
      <c r="R6" s="228">
        <v>7</v>
      </c>
      <c r="S6" s="228">
        <v>8</v>
      </c>
      <c r="T6" s="228">
        <v>9</v>
      </c>
      <c r="U6" s="228">
        <v>10</v>
      </c>
      <c r="V6" s="228">
        <v>11</v>
      </c>
      <c r="W6" s="228">
        <v>12</v>
      </c>
      <c r="X6" s="228">
        <v>13</v>
      </c>
      <c r="Y6" s="228">
        <v>14</v>
      </c>
      <c r="Z6" s="228">
        <v>15</v>
      </c>
      <c r="AA6" s="228">
        <v>16</v>
      </c>
      <c r="AB6" s="228">
        <v>17</v>
      </c>
      <c r="AC6" s="228">
        <v>18</v>
      </c>
      <c r="AF6" s="228">
        <v>1</v>
      </c>
      <c r="AG6" s="228">
        <v>2</v>
      </c>
      <c r="AH6" s="228">
        <v>3</v>
      </c>
      <c r="AI6" s="228">
        <v>4</v>
      </c>
      <c r="AJ6" s="228">
        <v>5</v>
      </c>
      <c r="AK6" s="228">
        <v>6</v>
      </c>
      <c r="AL6" s="228">
        <v>7</v>
      </c>
      <c r="AM6" s="228">
        <v>8</v>
      </c>
      <c r="AN6" s="228">
        <v>9</v>
      </c>
      <c r="AP6" s="228">
        <v>1</v>
      </c>
      <c r="AQ6" s="228">
        <v>2</v>
      </c>
      <c r="AR6" s="228">
        <v>3</v>
      </c>
      <c r="AS6" s="228">
        <v>4</v>
      </c>
      <c r="AT6" s="228">
        <v>5</v>
      </c>
      <c r="AU6" s="228">
        <v>6</v>
      </c>
      <c r="AV6" s="228">
        <v>7</v>
      </c>
      <c r="BC6" s="466" t="s">
        <v>60</v>
      </c>
      <c r="BK6" t="s">
        <v>95</v>
      </c>
      <c r="BW6" s="537" t="s">
        <v>466</v>
      </c>
      <c r="BX6" s="76"/>
      <c r="BY6" s="76"/>
      <c r="BZ6" s="76"/>
      <c r="CA6" s="76"/>
      <c r="CB6" s="40"/>
      <c r="CC6" s="537" t="s">
        <v>467</v>
      </c>
      <c r="CD6" s="76"/>
      <c r="CE6" s="76"/>
      <c r="CF6" s="76"/>
      <c r="CG6" s="76"/>
      <c r="CH6" s="40"/>
      <c r="CK6" s="537" t="s">
        <v>466</v>
      </c>
      <c r="CL6" s="76"/>
      <c r="CM6" s="76"/>
      <c r="CN6" s="76"/>
      <c r="CO6" s="76"/>
      <c r="CP6" s="40"/>
      <c r="CQ6" s="537" t="s">
        <v>467</v>
      </c>
      <c r="CR6" s="76"/>
      <c r="CS6" s="76"/>
      <c r="CT6" s="76"/>
      <c r="CU6" s="76"/>
      <c r="CV6" s="40"/>
    </row>
    <row r="7" spans="2:100" ht="13.5" thickBot="1" x14ac:dyDescent="0.25">
      <c r="B7" s="3"/>
      <c r="C7" s="51" t="s">
        <v>23</v>
      </c>
      <c r="D7" s="52" t="str">
        <f>'Deck Design Worksheet'!D3</f>
        <v>MTS-54</v>
      </c>
      <c r="E7" s="4"/>
      <c r="F7" s="4"/>
      <c r="G7" s="5"/>
      <c r="L7" s="431" t="s">
        <v>362</v>
      </c>
      <c r="M7" s="14"/>
      <c r="N7" s="242" t="s">
        <v>393</v>
      </c>
      <c r="O7" s="251" t="s">
        <v>393</v>
      </c>
      <c r="P7" s="389" t="s">
        <v>363</v>
      </c>
      <c r="Q7" s="391" t="s">
        <v>394</v>
      </c>
      <c r="R7" s="299"/>
      <c r="S7" s="299"/>
      <c r="T7" s="299"/>
      <c r="U7" s="299"/>
      <c r="V7" s="300"/>
      <c r="W7" s="298" t="str">
        <f>'English LRFD Working Area'!AY7</f>
        <v>Distribution Steel</v>
      </c>
      <c r="X7" s="299"/>
      <c r="Y7" s="299"/>
      <c r="Z7" s="481" t="s">
        <v>360</v>
      </c>
      <c r="AA7" s="299"/>
      <c r="AB7" s="299"/>
      <c r="AC7" s="300"/>
      <c r="AF7" s="14"/>
      <c r="AG7" s="14"/>
      <c r="AI7" s="72" t="str">
        <f>'English LRFD Working Area'!BK7</f>
        <v>Effective Span to Effective Depth</v>
      </c>
      <c r="AJ7" s="257"/>
      <c r="AK7" s="257"/>
      <c r="AL7" s="257"/>
      <c r="AM7" s="257"/>
      <c r="AN7" s="91"/>
      <c r="AP7" s="14"/>
      <c r="AQ7" s="72" t="str">
        <f>'English LRFD Working Area'!BR7</f>
        <v>Distribution Steel Requirement, Percent of Btm Transverse</v>
      </c>
      <c r="AR7" s="257"/>
      <c r="AS7" s="257"/>
      <c r="AT7" s="257"/>
      <c r="AU7" s="257"/>
      <c r="AV7" s="91"/>
      <c r="AX7" s="276" t="s">
        <v>365</v>
      </c>
      <c r="AY7" s="277"/>
      <c r="AZ7" s="278"/>
      <c r="BA7" s="276" t="s">
        <v>406</v>
      </c>
      <c r="BB7" s="277"/>
      <c r="BC7" s="475" t="s">
        <v>15</v>
      </c>
      <c r="BK7" t="s">
        <v>639</v>
      </c>
      <c r="BM7" s="14">
        <v>1</v>
      </c>
      <c r="BN7" s="3">
        <v>2</v>
      </c>
      <c r="BO7" s="4">
        <v>3</v>
      </c>
      <c r="BP7" s="4">
        <v>4</v>
      </c>
      <c r="BQ7" s="4">
        <v>5</v>
      </c>
      <c r="BR7" s="4">
        <v>6</v>
      </c>
      <c r="BS7" s="5">
        <v>7</v>
      </c>
      <c r="BU7" s="431"/>
      <c r="BV7" s="389" t="s">
        <v>363</v>
      </c>
      <c r="BW7" s="391" t="s">
        <v>394</v>
      </c>
      <c r="BX7" s="299"/>
      <c r="BY7" s="299"/>
      <c r="BZ7" s="299"/>
      <c r="CA7" s="299"/>
      <c r="CB7" s="300"/>
      <c r="CC7" s="391" t="s">
        <v>394</v>
      </c>
      <c r="CD7" s="299"/>
      <c r="CE7" s="299"/>
      <c r="CF7" s="299"/>
      <c r="CG7" s="299"/>
      <c r="CH7" s="300"/>
      <c r="CI7" s="431"/>
      <c r="CJ7" s="389" t="s">
        <v>363</v>
      </c>
      <c r="CK7" s="391" t="s">
        <v>394</v>
      </c>
      <c r="CL7" s="299"/>
      <c r="CM7" s="299"/>
      <c r="CN7" s="299"/>
      <c r="CO7" s="299"/>
      <c r="CP7" s="300"/>
      <c r="CQ7" s="391" t="s">
        <v>394</v>
      </c>
      <c r="CR7" s="299"/>
      <c r="CS7" s="299"/>
      <c r="CT7" s="299"/>
      <c r="CU7" s="299"/>
      <c r="CV7" s="300"/>
    </row>
    <row r="8" spans="2:100" ht="13.5" thickBot="1" x14ac:dyDescent="0.25">
      <c r="B8" s="37"/>
      <c r="C8" s="43" t="s">
        <v>18</v>
      </c>
      <c r="D8" s="53">
        <f>'Deck Design Worksheet'!D4</f>
        <v>10</v>
      </c>
      <c r="E8" s="38" t="s">
        <v>89</v>
      </c>
      <c r="F8" s="38"/>
      <c r="G8" s="7"/>
      <c r="I8" t="s">
        <v>495</v>
      </c>
      <c r="L8" s="265" t="s">
        <v>18</v>
      </c>
      <c r="M8" s="15"/>
      <c r="N8" s="322" t="s">
        <v>359</v>
      </c>
      <c r="O8" s="253" t="s">
        <v>359</v>
      </c>
      <c r="P8" s="322" t="s">
        <v>359</v>
      </c>
      <c r="Q8" s="390" t="s">
        <v>25</v>
      </c>
      <c r="R8" s="390" t="s">
        <v>1</v>
      </c>
      <c r="S8" s="390" t="s">
        <v>2</v>
      </c>
      <c r="T8" s="390" t="s">
        <v>3</v>
      </c>
      <c r="U8" s="390" t="s">
        <v>109</v>
      </c>
      <c r="V8" s="253" t="s">
        <v>56</v>
      </c>
      <c r="W8" s="255" t="str">
        <f>'English LRFD Working Area'!AY8</f>
        <v>Dist</v>
      </c>
      <c r="X8" s="255" t="str">
        <f>'English LRFD Working Area'!BA8</f>
        <v>MT-28</v>
      </c>
      <c r="Y8" s="230" t="str">
        <f>'English LRFD Working Area'!BB8</f>
        <v>A</v>
      </c>
      <c r="Z8" s="230" t="str">
        <f>'English LRFD Working Area'!BC8</f>
        <v>IV</v>
      </c>
      <c r="AA8" s="230" t="str">
        <f>'English LRFD Working Area'!BD8</f>
        <v>M72</v>
      </c>
      <c r="AB8" s="230" t="str">
        <f>'English LRFD Working Area'!BE8</f>
        <v>MTS-All</v>
      </c>
      <c r="AC8" s="256" t="str">
        <f>'English LRFD Working Area'!BF8</f>
        <v>Steel</v>
      </c>
      <c r="AF8" s="15"/>
      <c r="AG8" s="15"/>
      <c r="AH8" s="424" t="str">
        <f>'English LRFD Working Area'!BJ8</f>
        <v>Core</v>
      </c>
      <c r="AI8" s="255" t="str">
        <f>'English LRFD Working Area'!BK8</f>
        <v>MT-28</v>
      </c>
      <c r="AJ8" s="230" t="str">
        <f>'English LRFD Working Area'!BL8</f>
        <v>A</v>
      </c>
      <c r="AK8" s="230" t="str">
        <f>'English LRFD Working Area'!BM8</f>
        <v>IV</v>
      </c>
      <c r="AL8" s="230" t="str">
        <f>'English LRFD Working Area'!BN8</f>
        <v>M72</v>
      </c>
      <c r="AM8" s="230" t="str">
        <f>'English LRFD Working Area'!BO8</f>
        <v>MTS-All</v>
      </c>
      <c r="AN8" s="256" t="str">
        <f>'English LRFD Working Area'!BP8</f>
        <v>Steel</v>
      </c>
      <c r="AP8" s="15"/>
      <c r="AQ8" s="255" t="str">
        <f>'English LRFD Working Area'!BR8</f>
        <v>MT-28</v>
      </c>
      <c r="AR8" s="230" t="str">
        <f>'English LRFD Working Area'!BS8</f>
        <v>A</v>
      </c>
      <c r="AS8" s="230" t="str">
        <f>'English LRFD Working Area'!BT8</f>
        <v>IV</v>
      </c>
      <c r="AT8" s="230" t="str">
        <f>'English LRFD Working Area'!BU8</f>
        <v>M72</v>
      </c>
      <c r="AU8" s="230" t="str">
        <f>'English LRFD Working Area'!BV8</f>
        <v>MTS-All</v>
      </c>
      <c r="AV8" s="256" t="str">
        <f>'English LRFD Working Area'!BW8</f>
        <v>Steel</v>
      </c>
      <c r="AX8" s="279"/>
      <c r="AY8" s="103" t="s">
        <v>363</v>
      </c>
      <c r="AZ8" s="280" t="s">
        <v>341</v>
      </c>
      <c r="BA8" s="279" t="s">
        <v>404</v>
      </c>
      <c r="BB8" s="103" t="s">
        <v>405</v>
      </c>
      <c r="BC8" s="479" t="s">
        <v>464</v>
      </c>
      <c r="BF8" s="46">
        <f>D59</f>
        <v>1</v>
      </c>
      <c r="BG8" s="34">
        <f>D60</f>
        <v>1.5416666666666667</v>
      </c>
      <c r="BH8" s="34">
        <f>D61</f>
        <v>1.3333333333333333</v>
      </c>
      <c r="BI8" s="34">
        <f>D62</f>
        <v>1.6666666666666665</v>
      </c>
      <c r="BJ8" s="34">
        <f>D63</f>
        <v>1.25</v>
      </c>
      <c r="BK8" s="34">
        <f>D68</f>
        <v>0.5</v>
      </c>
      <c r="BL8" s="102">
        <f>D64</f>
        <v>2</v>
      </c>
      <c r="BM8" s="14" t="s">
        <v>15</v>
      </c>
      <c r="BN8" s="46" t="s">
        <v>636</v>
      </c>
      <c r="BO8" s="33" t="s">
        <v>19</v>
      </c>
      <c r="BP8" s="34"/>
      <c r="BQ8" s="4" t="s">
        <v>14</v>
      </c>
      <c r="BR8" s="4"/>
      <c r="BS8" s="5" t="s">
        <v>21</v>
      </c>
      <c r="BU8" s="265" t="s">
        <v>468</v>
      </c>
      <c r="BV8" s="322" t="s">
        <v>359</v>
      </c>
      <c r="BW8" s="390" t="s">
        <v>25</v>
      </c>
      <c r="BX8" s="390" t="s">
        <v>1</v>
      </c>
      <c r="BY8" s="390" t="s">
        <v>2</v>
      </c>
      <c r="BZ8" s="390" t="s">
        <v>3</v>
      </c>
      <c r="CA8" s="390" t="s">
        <v>109</v>
      </c>
      <c r="CB8" s="253" t="s">
        <v>56</v>
      </c>
      <c r="CC8" s="390" t="s">
        <v>25</v>
      </c>
      <c r="CD8" s="390" t="s">
        <v>1</v>
      </c>
      <c r="CE8" s="390" t="s">
        <v>2</v>
      </c>
      <c r="CF8" s="390" t="s">
        <v>3</v>
      </c>
      <c r="CG8" s="390" t="s">
        <v>109</v>
      </c>
      <c r="CH8" s="253" t="s">
        <v>56</v>
      </c>
      <c r="CI8" s="265" t="s">
        <v>468</v>
      </c>
      <c r="CJ8" s="322" t="s">
        <v>359</v>
      </c>
      <c r="CK8" s="390" t="s">
        <v>25</v>
      </c>
      <c r="CL8" s="390" t="s">
        <v>1</v>
      </c>
      <c r="CM8" s="390" t="s">
        <v>2</v>
      </c>
      <c r="CN8" s="390" t="s">
        <v>3</v>
      </c>
      <c r="CO8" s="390" t="s">
        <v>109</v>
      </c>
      <c r="CP8" s="253" t="s">
        <v>56</v>
      </c>
      <c r="CQ8" s="390" t="s">
        <v>25</v>
      </c>
      <c r="CR8" s="390" t="s">
        <v>1</v>
      </c>
      <c r="CS8" s="390" t="s">
        <v>2</v>
      </c>
      <c r="CT8" s="390" t="s">
        <v>3</v>
      </c>
      <c r="CU8" s="390" t="s">
        <v>109</v>
      </c>
      <c r="CV8" s="253" t="s">
        <v>56</v>
      </c>
    </row>
    <row r="9" spans="2:100" ht="13.5" thickBot="1" x14ac:dyDescent="0.25">
      <c r="B9" s="37"/>
      <c r="C9" s="135" t="s">
        <v>63</v>
      </c>
      <c r="D9" s="53">
        <f>'Deck Design Worksheet'!D5</f>
        <v>4</v>
      </c>
      <c r="E9" s="536" t="s">
        <v>480</v>
      </c>
      <c r="F9" s="38"/>
      <c r="G9" s="7"/>
      <c r="I9" s="521">
        <f>VLOOKUP($D$8+0.2499,$L$10:$AB$54,VLOOKUP($D$7,$AX$10:$AZ$18,2))</f>
        <v>6.5</v>
      </c>
      <c r="J9" s="535" t="s">
        <v>550</v>
      </c>
      <c r="L9" s="265" t="str">
        <f>'English LRFD Working Area'!C9</f>
        <v>S</v>
      </c>
      <c r="M9" s="265" t="str">
        <f>'English LRFD Working Area'!P9</f>
        <v>Deck t</v>
      </c>
      <c r="N9" s="322" t="str">
        <f>'English LRFD Working Area'!Q9</f>
        <v>Bar Size</v>
      </c>
      <c r="O9" s="253" t="s">
        <v>18</v>
      </c>
      <c r="P9" s="322" t="str">
        <f>'English LRFD Working Area'!R9</f>
        <v>Bar Size</v>
      </c>
      <c r="Q9" s="240"/>
      <c r="R9" s="240"/>
      <c r="S9" s="240"/>
      <c r="T9" s="240"/>
      <c r="U9" s="240"/>
      <c r="V9" s="252"/>
      <c r="W9" s="243" t="str">
        <f>'English LRFD Working Area'!AY9</f>
        <v>Size</v>
      </c>
      <c r="X9" s="243"/>
      <c r="Y9" s="240"/>
      <c r="Z9" s="240"/>
      <c r="AA9" s="240"/>
      <c r="AB9" s="240"/>
      <c r="AC9" s="252"/>
      <c r="AF9" s="265" t="str">
        <f>L9</f>
        <v>S</v>
      </c>
      <c r="AG9" s="265" t="str">
        <f>M9</f>
        <v>Deck t</v>
      </c>
      <c r="AH9" s="425" t="str">
        <f>'English LRFD Working Area'!BJ9</f>
        <v>Depth</v>
      </c>
      <c r="AI9" s="243"/>
      <c r="AJ9" s="240"/>
      <c r="AK9" s="240"/>
      <c r="AL9" s="240"/>
      <c r="AM9" s="240"/>
      <c r="AN9" s="252"/>
      <c r="AP9" s="265" t="str">
        <f>L9</f>
        <v>S</v>
      </c>
      <c r="AQ9" s="243"/>
      <c r="AR9" s="240"/>
      <c r="AS9" s="240"/>
      <c r="AT9" s="240"/>
      <c r="AU9" s="240"/>
      <c r="AV9" s="252"/>
      <c r="AX9" s="281" t="s">
        <v>362</v>
      </c>
      <c r="AY9" s="282" t="s">
        <v>359</v>
      </c>
      <c r="AZ9" s="283" t="s">
        <v>364</v>
      </c>
      <c r="BA9" s="426" t="s">
        <v>288</v>
      </c>
      <c r="BB9" s="478" t="s">
        <v>288</v>
      </c>
      <c r="BC9" s="480" t="s">
        <v>465</v>
      </c>
      <c r="BF9" s="10" t="s">
        <v>0</v>
      </c>
      <c r="BG9" s="11" t="s">
        <v>25</v>
      </c>
      <c r="BH9" s="11" t="s">
        <v>1</v>
      </c>
      <c r="BI9" s="11" t="s">
        <v>2</v>
      </c>
      <c r="BJ9" s="11" t="s">
        <v>3</v>
      </c>
      <c r="BK9" s="11" t="s">
        <v>4</v>
      </c>
      <c r="BL9" s="48" t="s">
        <v>109</v>
      </c>
      <c r="BM9" s="16" t="s">
        <v>87</v>
      </c>
      <c r="BN9" s="10" t="s">
        <v>88</v>
      </c>
      <c r="BO9" s="11" t="s">
        <v>17</v>
      </c>
      <c r="BP9" s="11" t="s">
        <v>18</v>
      </c>
      <c r="BQ9" s="36" t="s">
        <v>5</v>
      </c>
      <c r="BR9" s="36" t="s">
        <v>6</v>
      </c>
      <c r="BS9" s="13" t="s">
        <v>22</v>
      </c>
      <c r="BU9" s="265" t="s">
        <v>89</v>
      </c>
      <c r="BV9" s="322" t="s">
        <v>271</v>
      </c>
      <c r="BW9" s="390"/>
      <c r="BX9" s="390"/>
      <c r="BY9" s="390"/>
      <c r="BZ9" s="390"/>
      <c r="CA9" s="390"/>
      <c r="CB9" s="253"/>
      <c r="CC9" s="390"/>
      <c r="CD9" s="390"/>
      <c r="CE9" s="390"/>
      <c r="CF9" s="390"/>
      <c r="CG9" s="390"/>
      <c r="CH9" s="253"/>
      <c r="CI9" s="265" t="s">
        <v>89</v>
      </c>
      <c r="CJ9" s="322" t="s">
        <v>271</v>
      </c>
      <c r="CK9" s="390"/>
      <c r="CL9" s="390"/>
      <c r="CM9" s="390"/>
      <c r="CN9" s="390"/>
      <c r="CO9" s="390"/>
      <c r="CP9" s="253"/>
      <c r="CQ9" s="390"/>
      <c r="CR9" s="390"/>
      <c r="CS9" s="390"/>
      <c r="CT9" s="390"/>
      <c r="CU9" s="390"/>
      <c r="CV9" s="253"/>
    </row>
    <row r="10" spans="2:100" ht="12.75" customHeight="1" thickBot="1" x14ac:dyDescent="0.25">
      <c r="B10" s="35"/>
      <c r="C10" s="36" t="s">
        <v>73</v>
      </c>
      <c r="D10" s="50" t="str">
        <f>'Deck Design Worksheet'!D6</f>
        <v>SL-7</v>
      </c>
      <c r="E10" s="36"/>
      <c r="F10" s="36"/>
      <c r="G10" s="13"/>
      <c r="I10" s="155">
        <f>VLOOKUP(D9,$BU$10:$CV$29,CA42,TRUE)</f>
        <v>6.5</v>
      </c>
      <c r="J10" s="519" t="s">
        <v>551</v>
      </c>
      <c r="L10" s="266">
        <f>'English LRFD Working Area'!C10</f>
        <v>4</v>
      </c>
      <c r="M10" s="269">
        <f>'English LRFD Working Area'!P10</f>
        <v>7.5</v>
      </c>
      <c r="N10" s="377" t="str">
        <f>'English LRFD Working Area'!Q10</f>
        <v># 5</v>
      </c>
      <c r="O10" s="254">
        <f>MIN('English LRFD Working Area'!Y10:Z10)</f>
        <v>10</v>
      </c>
      <c r="P10" s="377" t="str">
        <f>'English LRFD Working Area'!R10</f>
        <v># 5</v>
      </c>
      <c r="Q10" s="238">
        <f>MIN(VLOOKUP($P10,$U$76:$V$78,2,FALSE),'English LRFD Working Area'!AC10:AD10)</f>
        <v>12</v>
      </c>
      <c r="R10" s="238">
        <f>MIN(VLOOKUP($P10,$U$76:$V$78,2,FALSE),'English LRFD Working Area'!AG10:AH10)</f>
        <v>11</v>
      </c>
      <c r="S10" s="238">
        <f>MIN(VLOOKUP($P10,$U$76:$V$78,2,FALSE),'English LRFD Working Area'!AK10:AL10)</f>
        <v>11.5</v>
      </c>
      <c r="T10" s="238">
        <f>MIN(VLOOKUP($P10,$U$76:$V$78,2,FALSE),'English LRFD Working Area'!AO10:AP10)</f>
        <v>12</v>
      </c>
      <c r="U10" s="238">
        <f>MIN(VLOOKUP($P10,$U$76:$V$78,2,FALSE),'English LRFD Working Area'!AS10:AT10)</f>
        <v>12</v>
      </c>
      <c r="V10" s="245">
        <f>MIN(VLOOKUP($P10,$U$76:$V$78,2,FALSE),'English LRFD Working Area'!AW10:AX10)</f>
        <v>10.25</v>
      </c>
      <c r="W10" s="244" t="str">
        <f>'English LRFD Working Area'!AY10</f>
        <v># 4</v>
      </c>
      <c r="X10" s="258">
        <f>'English LRFD Working Area'!BA10</f>
        <v>4</v>
      </c>
      <c r="Y10" s="239">
        <f>'English LRFD Working Area'!BB10</f>
        <v>5</v>
      </c>
      <c r="Z10" s="239">
        <f>'English LRFD Working Area'!BC10</f>
        <v>5</v>
      </c>
      <c r="AA10" s="239">
        <f>'English LRFD Working Area'!BD10</f>
        <v>4</v>
      </c>
      <c r="AB10" s="239">
        <f>'English LRFD Working Area'!BE10</f>
        <v>3</v>
      </c>
      <c r="AC10" s="259">
        <f>'English LRFD Working Area'!BF10</f>
        <v>5</v>
      </c>
      <c r="AF10" s="266">
        <f>L10</f>
        <v>4</v>
      </c>
      <c r="AG10" s="269">
        <f>M10</f>
        <v>7.5</v>
      </c>
      <c r="AH10" s="421">
        <f>'English LRFD Working Area'!BJ10</f>
        <v>4</v>
      </c>
      <c r="AI10" s="414">
        <f>'English LRFD Working Area'!BK10</f>
        <v>3.7857142857142847</v>
      </c>
      <c r="AJ10" s="400">
        <f>'English LRFD Working Area'!BL10</f>
        <v>5.2857142857142865</v>
      </c>
      <c r="AK10" s="400">
        <f>'English LRFD Working Area'!BM10</f>
        <v>4.8571429142857134</v>
      </c>
      <c r="AL10" s="400">
        <f>'English LRFD Working Area'!BN10</f>
        <v>4.2857142857142856</v>
      </c>
      <c r="AM10" s="400">
        <f>'English LRFD Working Area'!BO10</f>
        <v>3</v>
      </c>
      <c r="AN10" s="415">
        <f>'English LRFD Working Area'!BP10</f>
        <v>6</v>
      </c>
      <c r="AP10" s="266">
        <f t="shared" ref="AP10:AP54" si="1">L10</f>
        <v>4</v>
      </c>
      <c r="AQ10" s="468">
        <f>'English LRFD Working Area'!BR10</f>
        <v>0.67</v>
      </c>
      <c r="AR10" s="463">
        <f>'English LRFD Working Area'!BS10</f>
        <v>0.67</v>
      </c>
      <c r="AS10" s="463">
        <f>'English LRFD Working Area'!BT10</f>
        <v>0.67</v>
      </c>
      <c r="AT10" s="463">
        <f>'English LRFD Working Area'!BU10</f>
        <v>0.67</v>
      </c>
      <c r="AU10" s="463">
        <f>'English LRFD Working Area'!BV10</f>
        <v>0.67</v>
      </c>
      <c r="AV10" s="469">
        <f>'English LRFD Working Area'!BW10</f>
        <v>0.67</v>
      </c>
      <c r="AX10" s="284" t="str">
        <f t="shared" ref="AX10:AX18" si="2">C60</f>
        <v>MT-28</v>
      </c>
      <c r="AY10" s="285">
        <f>Q6</f>
        <v>6</v>
      </c>
      <c r="AZ10" s="286">
        <f>X6</f>
        <v>13</v>
      </c>
      <c r="BA10" s="284">
        <f>AH6</f>
        <v>3</v>
      </c>
      <c r="BB10" s="286">
        <f>AI6</f>
        <v>4</v>
      </c>
      <c r="BC10" s="467">
        <f>'English LRFD Working Area'!CI79</f>
        <v>1.7916666666666667</v>
      </c>
      <c r="BF10" s="59">
        <f t="shared" ref="BF10:BL19" si="3">$BM10+BF$8</f>
        <v>5.5</v>
      </c>
      <c r="BG10" s="60">
        <f t="shared" si="3"/>
        <v>6.041666666666667</v>
      </c>
      <c r="BH10" s="60">
        <f t="shared" si="3"/>
        <v>5.833333333333333</v>
      </c>
      <c r="BI10" s="60">
        <f t="shared" si="3"/>
        <v>6.1666666666666661</v>
      </c>
      <c r="BJ10" s="60">
        <f t="shared" si="3"/>
        <v>5.75</v>
      </c>
      <c r="BK10" s="60">
        <f t="shared" si="3"/>
        <v>5</v>
      </c>
      <c r="BL10" s="61">
        <f t="shared" si="3"/>
        <v>6.5</v>
      </c>
      <c r="BM10" s="70">
        <v>4.5</v>
      </c>
      <c r="BN10" s="8">
        <v>7.25</v>
      </c>
      <c r="BO10" s="6" t="s">
        <v>41</v>
      </c>
      <c r="BP10" s="9">
        <v>9</v>
      </c>
      <c r="BQ10" s="6">
        <v>4</v>
      </c>
      <c r="BR10" s="6">
        <v>1</v>
      </c>
      <c r="BS10" s="7">
        <f t="shared" ref="BS10:BS39" si="4">IF(BN10+$G$51&lt;$G$50,$G$50,BN10+$G$51)</f>
        <v>8.75</v>
      </c>
      <c r="BU10" s="496">
        <v>0</v>
      </c>
      <c r="BV10" s="490" t="str">
        <f>BV11</f>
        <v># 5</v>
      </c>
      <c r="BW10" s="491">
        <f t="shared" ref="BW10:CH10" si="5">BW11</f>
        <v>8.75</v>
      </c>
      <c r="BX10" s="491">
        <f t="shared" si="5"/>
        <v>8.75</v>
      </c>
      <c r="BY10" s="491">
        <f t="shared" si="5"/>
        <v>8.75</v>
      </c>
      <c r="BZ10" s="491">
        <f t="shared" si="5"/>
        <v>8.75</v>
      </c>
      <c r="CA10" s="491">
        <f t="shared" si="5"/>
        <v>8.75</v>
      </c>
      <c r="CB10" s="492">
        <f t="shared" si="5"/>
        <v>8.75</v>
      </c>
      <c r="CC10" s="491">
        <f t="shared" si="5"/>
        <v>5.25</v>
      </c>
      <c r="CD10" s="491">
        <f t="shared" si="5"/>
        <v>5</v>
      </c>
      <c r="CE10" s="491">
        <f t="shared" si="5"/>
        <v>5.25</v>
      </c>
      <c r="CF10" s="491">
        <f t="shared" si="5"/>
        <v>5.25</v>
      </c>
      <c r="CG10" s="491">
        <f t="shared" si="5"/>
        <v>5.5</v>
      </c>
      <c r="CH10" s="492">
        <f t="shared" si="5"/>
        <v>5</v>
      </c>
      <c r="CI10" s="498">
        <v>0</v>
      </c>
      <c r="CJ10" s="486" t="str">
        <f>CJ11</f>
        <v># 6</v>
      </c>
      <c r="CK10" s="491">
        <f t="shared" ref="CK10:CV10" si="6">CK11</f>
        <v>12.5</v>
      </c>
      <c r="CL10" s="491">
        <f t="shared" si="6"/>
        <v>12.5</v>
      </c>
      <c r="CM10" s="491">
        <f t="shared" si="6"/>
        <v>12.5</v>
      </c>
      <c r="CN10" s="491">
        <f t="shared" si="6"/>
        <v>12.5</v>
      </c>
      <c r="CO10" s="491">
        <f t="shared" si="6"/>
        <v>12.5</v>
      </c>
      <c r="CP10" s="492">
        <f t="shared" si="6"/>
        <v>12.5</v>
      </c>
      <c r="CQ10" s="491">
        <f t="shared" si="6"/>
        <v>7.75</v>
      </c>
      <c r="CR10" s="491">
        <f t="shared" si="6"/>
        <v>7.25</v>
      </c>
      <c r="CS10" s="491">
        <f t="shared" si="6"/>
        <v>7.5</v>
      </c>
      <c r="CT10" s="491">
        <f t="shared" si="6"/>
        <v>7.5</v>
      </c>
      <c r="CU10" s="491">
        <f t="shared" si="6"/>
        <v>7.75</v>
      </c>
      <c r="CV10" s="492">
        <f t="shared" si="6"/>
        <v>7.25</v>
      </c>
    </row>
    <row r="11" spans="2:100" ht="13.5" thickBot="1" x14ac:dyDescent="0.25">
      <c r="I11" s="613">
        <f>I9/I10</f>
        <v>1</v>
      </c>
      <c r="J11" t="str">
        <f>IF(I11&gt;1,"* Top Transverse Steel has been increased by "&amp;TEXT(I11-1,"##.#%")&amp;" for Rail Impact Loading.","* No adjustment to Top Transverse Steel was needed for Rail Impact Loading.")</f>
        <v>* No adjustment to Top Transverse Steel was needed for Rail Impact Loading.</v>
      </c>
      <c r="L11" s="267">
        <f>'English LRFD Working Area'!C11</f>
        <v>4.25</v>
      </c>
      <c r="M11" s="270">
        <f>'English LRFD Working Area'!P11</f>
        <v>7.5</v>
      </c>
      <c r="N11" s="378" t="str">
        <f>'English LRFD Working Area'!Q11</f>
        <v># 5</v>
      </c>
      <c r="O11" s="247">
        <f>MIN('English LRFD Working Area'!Y11:Z11)</f>
        <v>10</v>
      </c>
      <c r="P11" s="378" t="str">
        <f>'English LRFD Working Area'!R11</f>
        <v># 5</v>
      </c>
      <c r="Q11" s="234">
        <f>MIN(VLOOKUP($P11,$U$76:$V$78,2,FALSE),'English LRFD Working Area'!AC11:AD11)</f>
        <v>12</v>
      </c>
      <c r="R11" s="234">
        <f>MIN(VLOOKUP($P11,$U$76:$V$78,2,FALSE),'English LRFD Working Area'!AG11:AH11)</f>
        <v>10.25</v>
      </c>
      <c r="S11" s="234">
        <f>MIN(VLOOKUP($P11,$U$76:$V$78,2,FALSE),'English LRFD Working Area'!AK11:AL11)</f>
        <v>10.75</v>
      </c>
      <c r="T11" s="234">
        <f>MIN(VLOOKUP($P11,$U$76:$V$78,2,FALSE),'English LRFD Working Area'!AO11:AP11)</f>
        <v>11.5</v>
      </c>
      <c r="U11" s="234">
        <f>MIN(VLOOKUP($P11,$U$76:$V$78,2,FALSE),'English LRFD Working Area'!AS11:AT11)</f>
        <v>12</v>
      </c>
      <c r="V11" s="247">
        <f>MIN(VLOOKUP($P11,$U$76:$V$78,2,FALSE),'English LRFD Working Area'!AW11:AX11)</f>
        <v>9.75</v>
      </c>
      <c r="W11" s="246" t="str">
        <f>'English LRFD Working Area'!AY11</f>
        <v># 4</v>
      </c>
      <c r="X11" s="260">
        <f>'English LRFD Working Area'!BA11</f>
        <v>4</v>
      </c>
      <c r="Y11" s="237">
        <f>'English LRFD Working Area'!BB11</f>
        <v>5</v>
      </c>
      <c r="Z11" s="237">
        <f>'English LRFD Working Area'!BC11</f>
        <v>5</v>
      </c>
      <c r="AA11" s="237">
        <f>'English LRFD Working Area'!BD11</f>
        <v>5</v>
      </c>
      <c r="AB11" s="237">
        <f>'English LRFD Working Area'!BE11</f>
        <v>4</v>
      </c>
      <c r="AC11" s="261">
        <f>'English LRFD Working Area'!BF11</f>
        <v>6</v>
      </c>
      <c r="AF11" s="267">
        <f t="shared" ref="AF11:AF54" si="7">L11</f>
        <v>4.25</v>
      </c>
      <c r="AG11" s="270">
        <f t="shared" ref="AG11:AG54" si="8">M11</f>
        <v>7.5</v>
      </c>
      <c r="AH11" s="422">
        <f>'English LRFD Working Area'!BJ11</f>
        <v>4</v>
      </c>
      <c r="AI11" s="416">
        <f>'English LRFD Working Area'!BK11</f>
        <v>4.2142857142857135</v>
      </c>
      <c r="AJ11" s="401">
        <f>'English LRFD Working Area'!BL11</f>
        <v>5.7142857142857144</v>
      </c>
      <c r="AK11" s="401">
        <f>'English LRFD Working Area'!BM11</f>
        <v>5.2857143428571423</v>
      </c>
      <c r="AL11" s="401">
        <f>'English LRFD Working Area'!BN11</f>
        <v>4.7142857142857144</v>
      </c>
      <c r="AM11" s="401">
        <f>'English LRFD Working Area'!BO11</f>
        <v>3.4285714285714284</v>
      </c>
      <c r="AN11" s="417">
        <f>'English LRFD Working Area'!BP11</f>
        <v>6.4285714285714288</v>
      </c>
      <c r="AP11" s="267">
        <f t="shared" si="1"/>
        <v>4.25</v>
      </c>
      <c r="AQ11" s="470">
        <f>'English LRFD Working Area'!BR11</f>
        <v>0.67</v>
      </c>
      <c r="AR11" s="464">
        <f>'English LRFD Working Area'!BS11</f>
        <v>0.67</v>
      </c>
      <c r="AS11" s="464">
        <f>'English LRFD Working Area'!BT11</f>
        <v>0.67</v>
      </c>
      <c r="AT11" s="464">
        <f>'English LRFD Working Area'!BU11</f>
        <v>0.67</v>
      </c>
      <c r="AU11" s="464">
        <f>'English LRFD Working Area'!BV11</f>
        <v>0.67</v>
      </c>
      <c r="AV11" s="471">
        <f>'English LRFD Working Area'!BW11</f>
        <v>0.67</v>
      </c>
      <c r="AX11" s="287" t="str">
        <f t="shared" si="2"/>
        <v>A</v>
      </c>
      <c r="AY11" s="6">
        <f>R6</f>
        <v>7</v>
      </c>
      <c r="AZ11" s="288">
        <f>Y6</f>
        <v>14</v>
      </c>
      <c r="BA11" s="287">
        <f>BA10</f>
        <v>3</v>
      </c>
      <c r="BB11" s="288">
        <f>AJ6</f>
        <v>5</v>
      </c>
      <c r="BC11" s="467">
        <f>'English LRFD Working Area'!CI80</f>
        <v>0.91666666666666663</v>
      </c>
      <c r="BF11" s="62">
        <f t="shared" si="3"/>
        <v>5.75</v>
      </c>
      <c r="BG11" s="63">
        <f t="shared" si="3"/>
        <v>6.291666666666667</v>
      </c>
      <c r="BH11" s="63">
        <f t="shared" si="3"/>
        <v>6.083333333333333</v>
      </c>
      <c r="BI11" s="63">
        <f t="shared" si="3"/>
        <v>6.4166666666666661</v>
      </c>
      <c r="BJ11" s="63">
        <f t="shared" si="3"/>
        <v>6</v>
      </c>
      <c r="BK11" s="63">
        <f t="shared" si="3"/>
        <v>5.25</v>
      </c>
      <c r="BL11" s="64">
        <f t="shared" si="3"/>
        <v>6.75</v>
      </c>
      <c r="BM11" s="70">
        <v>4.75</v>
      </c>
      <c r="BN11" s="8">
        <v>7.25</v>
      </c>
      <c r="BO11" s="6" t="s">
        <v>41</v>
      </c>
      <c r="BP11" s="9">
        <v>8.75</v>
      </c>
      <c r="BQ11" s="6">
        <v>4</v>
      </c>
      <c r="BR11" s="6">
        <v>1</v>
      </c>
      <c r="BS11" s="7">
        <f t="shared" si="4"/>
        <v>8.75</v>
      </c>
      <c r="BU11" s="496">
        <f>'Rail Crash Loading'!C9</f>
        <v>1.5</v>
      </c>
      <c r="BV11" s="490" t="str">
        <f>'Rail Crash Loading'!D9</f>
        <v># 5</v>
      </c>
      <c r="BW11" s="491">
        <f>'Rail Crash Loading'!E9</f>
        <v>8.75</v>
      </c>
      <c r="BX11" s="491">
        <f>'Rail Crash Loading'!F9</f>
        <v>8.75</v>
      </c>
      <c r="BY11" s="491">
        <f>'Rail Crash Loading'!G9</f>
        <v>8.75</v>
      </c>
      <c r="BZ11" s="491">
        <f>'Rail Crash Loading'!H9</f>
        <v>8.75</v>
      </c>
      <c r="CA11" s="491">
        <f>'Rail Crash Loading'!I9</f>
        <v>8.75</v>
      </c>
      <c r="CB11" s="492">
        <f>'Rail Crash Loading'!J9</f>
        <v>8.75</v>
      </c>
      <c r="CC11" s="491">
        <f>'Rail Crash Loading'!K9</f>
        <v>5.25</v>
      </c>
      <c r="CD11" s="491">
        <f>'Rail Crash Loading'!L9</f>
        <v>5</v>
      </c>
      <c r="CE11" s="491">
        <f>'Rail Crash Loading'!M9</f>
        <v>5.25</v>
      </c>
      <c r="CF11" s="491">
        <f>'Rail Crash Loading'!N9</f>
        <v>5.25</v>
      </c>
      <c r="CG11" s="491">
        <f>'Rail Crash Loading'!O9</f>
        <v>5.5</v>
      </c>
      <c r="CH11" s="492">
        <f>'Rail Crash Loading'!P9</f>
        <v>5</v>
      </c>
      <c r="CI11" s="498">
        <f>'Rail Crash Loading'!C28</f>
        <v>1.5</v>
      </c>
      <c r="CJ11" s="486" t="str">
        <f>'Rail Crash Loading'!D28</f>
        <v># 6</v>
      </c>
      <c r="CK11" s="491">
        <f>'Rail Crash Loading'!E28</f>
        <v>12.5</v>
      </c>
      <c r="CL11" s="491">
        <f>'Rail Crash Loading'!F28</f>
        <v>12.5</v>
      </c>
      <c r="CM11" s="491">
        <f>'Rail Crash Loading'!G28</f>
        <v>12.5</v>
      </c>
      <c r="CN11" s="491">
        <f>'Rail Crash Loading'!H28</f>
        <v>12.5</v>
      </c>
      <c r="CO11" s="491">
        <f>'Rail Crash Loading'!I28</f>
        <v>12.5</v>
      </c>
      <c r="CP11" s="492">
        <f>'Rail Crash Loading'!J28</f>
        <v>12.5</v>
      </c>
      <c r="CQ11" s="491">
        <f>'Rail Crash Loading'!K28</f>
        <v>7.75</v>
      </c>
      <c r="CR11" s="491">
        <f>'Rail Crash Loading'!L28</f>
        <v>7.25</v>
      </c>
      <c r="CS11" s="491">
        <f>'Rail Crash Loading'!M28</f>
        <v>7.5</v>
      </c>
      <c r="CT11" s="491">
        <f>'Rail Crash Loading'!N28</f>
        <v>7.5</v>
      </c>
      <c r="CU11" s="491">
        <f>'Rail Crash Loading'!O28</f>
        <v>7.75</v>
      </c>
      <c r="CV11" s="492">
        <f>'Rail Crash Loading'!P28</f>
        <v>7.25</v>
      </c>
    </row>
    <row r="12" spans="2:100" ht="13.5" thickBot="1" x14ac:dyDescent="0.25">
      <c r="B12" s="72" t="s">
        <v>640</v>
      </c>
      <c r="C12" s="5"/>
      <c r="L12" s="267">
        <f>'English LRFD Working Area'!C12</f>
        <v>4.5</v>
      </c>
      <c r="M12" s="270">
        <f>'English LRFD Working Area'!P12</f>
        <v>7.5</v>
      </c>
      <c r="N12" s="378" t="str">
        <f>'English LRFD Working Area'!Q12</f>
        <v># 5</v>
      </c>
      <c r="O12" s="247">
        <f>MIN('English LRFD Working Area'!Y12:Z12)</f>
        <v>10</v>
      </c>
      <c r="P12" s="378" t="str">
        <f>'English LRFD Working Area'!R12</f>
        <v># 5</v>
      </c>
      <c r="Q12" s="234">
        <f>MIN(VLOOKUP($P12,$U$76:$V$78,2,FALSE),'English LRFD Working Area'!AC12:AD12)</f>
        <v>11.5</v>
      </c>
      <c r="R12" s="234">
        <f>MIN(VLOOKUP($P12,$U$76:$V$78,2,FALSE),'English LRFD Working Area'!AG12:AH12)</f>
        <v>9.5</v>
      </c>
      <c r="S12" s="234">
        <f>MIN(VLOOKUP($P12,$U$76:$V$78,2,FALSE),'English LRFD Working Area'!AK12:AL12)</f>
        <v>10</v>
      </c>
      <c r="T12" s="234">
        <f>MIN(VLOOKUP($P12,$U$76:$V$78,2,FALSE),'English LRFD Working Area'!AO12:AP12)</f>
        <v>11</v>
      </c>
      <c r="U12" s="234">
        <f>MIN(VLOOKUP($P12,$U$76:$V$78,2,FALSE),'English LRFD Working Area'!AS12:AT12)</f>
        <v>12</v>
      </c>
      <c r="V12" s="247">
        <f>MIN(VLOOKUP($P12,$U$76:$V$78,2,FALSE),'English LRFD Working Area'!AW12:AX12)</f>
        <v>9</v>
      </c>
      <c r="W12" s="246" t="str">
        <f>'English LRFD Working Area'!AY12</f>
        <v># 4</v>
      </c>
      <c r="X12" s="260">
        <f>'English LRFD Working Area'!BA12</f>
        <v>5</v>
      </c>
      <c r="Y12" s="237">
        <f>'English LRFD Working Area'!BB12</f>
        <v>6</v>
      </c>
      <c r="Z12" s="237">
        <f>'English LRFD Working Area'!BC12</f>
        <v>5</v>
      </c>
      <c r="AA12" s="237">
        <f>'English LRFD Working Area'!BD12</f>
        <v>5</v>
      </c>
      <c r="AB12" s="237">
        <f>'English LRFD Working Area'!BE12</f>
        <v>4</v>
      </c>
      <c r="AC12" s="261">
        <f>'English LRFD Working Area'!BF12</f>
        <v>6</v>
      </c>
      <c r="AF12" s="267">
        <f t="shared" si="7"/>
        <v>4.5</v>
      </c>
      <c r="AG12" s="270">
        <f t="shared" si="8"/>
        <v>7.5</v>
      </c>
      <c r="AH12" s="422">
        <f>'English LRFD Working Area'!BJ12</f>
        <v>4</v>
      </c>
      <c r="AI12" s="416">
        <f>'English LRFD Working Area'!BK12</f>
        <v>4.6428571428571423</v>
      </c>
      <c r="AJ12" s="401">
        <f>'English LRFD Working Area'!BL12</f>
        <v>6.1428571428571441</v>
      </c>
      <c r="AK12" s="401">
        <f>'English LRFD Working Area'!BM12</f>
        <v>5.7142857714285711</v>
      </c>
      <c r="AL12" s="401">
        <f>'English LRFD Working Area'!BN12</f>
        <v>5.1428571428571423</v>
      </c>
      <c r="AM12" s="401">
        <f>'English LRFD Working Area'!BO12</f>
        <v>3.8571428571428577</v>
      </c>
      <c r="AN12" s="417">
        <f>'English LRFD Working Area'!BP12</f>
        <v>6.8571428571428568</v>
      </c>
      <c r="AP12" s="267">
        <f t="shared" si="1"/>
        <v>4.5</v>
      </c>
      <c r="AQ12" s="470">
        <f>'English LRFD Working Area'!BR12</f>
        <v>0.67</v>
      </c>
      <c r="AR12" s="464">
        <f>'English LRFD Working Area'!BS12</f>
        <v>0.67</v>
      </c>
      <c r="AS12" s="464">
        <f>'English LRFD Working Area'!BT12</f>
        <v>0.67</v>
      </c>
      <c r="AT12" s="464">
        <f>'English LRFD Working Area'!BU12</f>
        <v>0.67</v>
      </c>
      <c r="AU12" s="464">
        <f>'English LRFD Working Area'!BV12</f>
        <v>0.67</v>
      </c>
      <c r="AV12" s="471">
        <f>'English LRFD Working Area'!BW12</f>
        <v>0.67</v>
      </c>
      <c r="AX12" s="287" t="str">
        <f t="shared" si="2"/>
        <v>IV</v>
      </c>
      <c r="AY12" s="6">
        <f>S6</f>
        <v>8</v>
      </c>
      <c r="AZ12" s="288">
        <f>Z6</f>
        <v>15</v>
      </c>
      <c r="BA12" s="287">
        <f t="shared" ref="BA12:BA18" si="9">BA11</f>
        <v>3</v>
      </c>
      <c r="BB12" s="288">
        <f>AK6</f>
        <v>6</v>
      </c>
      <c r="BC12" s="467">
        <f>'English LRFD Working Area'!CI81</f>
        <v>1.1666666333333333</v>
      </c>
      <c r="BF12" s="62">
        <f t="shared" si="3"/>
        <v>5.916666666666667</v>
      </c>
      <c r="BG12" s="63">
        <f t="shared" si="3"/>
        <v>6.4583333333333339</v>
      </c>
      <c r="BH12" s="63">
        <f t="shared" si="3"/>
        <v>6.25</v>
      </c>
      <c r="BI12" s="63">
        <f t="shared" si="3"/>
        <v>6.5833333333333339</v>
      </c>
      <c r="BJ12" s="63">
        <f t="shared" si="3"/>
        <v>6.166666666666667</v>
      </c>
      <c r="BK12" s="63">
        <f t="shared" si="3"/>
        <v>5.416666666666667</v>
      </c>
      <c r="BL12" s="64">
        <f t="shared" si="3"/>
        <v>6.916666666666667</v>
      </c>
      <c r="BM12" s="70">
        <v>4.916666666666667</v>
      </c>
      <c r="BN12" s="8">
        <v>7.25</v>
      </c>
      <c r="BO12" s="6" t="s">
        <v>41</v>
      </c>
      <c r="BP12" s="9">
        <v>8.5</v>
      </c>
      <c r="BQ12" s="6">
        <v>4</v>
      </c>
      <c r="BR12" s="6">
        <v>1</v>
      </c>
      <c r="BS12" s="7">
        <f t="shared" si="4"/>
        <v>8.75</v>
      </c>
      <c r="BU12" s="497">
        <f>'Rail Crash Loading'!C10</f>
        <v>1.75</v>
      </c>
      <c r="BV12" s="378" t="str">
        <f>'Rail Crash Loading'!D10</f>
        <v># 5</v>
      </c>
      <c r="BW12" s="484">
        <f>'Rail Crash Loading'!E10</f>
        <v>8.75</v>
      </c>
      <c r="BX12" s="484">
        <f>'Rail Crash Loading'!F10</f>
        <v>8.75</v>
      </c>
      <c r="BY12" s="484">
        <f>'Rail Crash Loading'!G10</f>
        <v>8.75</v>
      </c>
      <c r="BZ12" s="484">
        <f>'Rail Crash Loading'!H10</f>
        <v>8.75</v>
      </c>
      <c r="CA12" s="484">
        <f>'Rail Crash Loading'!I10</f>
        <v>8.75</v>
      </c>
      <c r="CB12" s="485">
        <f>'Rail Crash Loading'!J10</f>
        <v>8.75</v>
      </c>
      <c r="CC12" s="484">
        <f>'Rail Crash Loading'!K10</f>
        <v>5.75</v>
      </c>
      <c r="CD12" s="484">
        <f>'Rail Crash Loading'!L10</f>
        <v>5.5</v>
      </c>
      <c r="CE12" s="484">
        <f>'Rail Crash Loading'!M10</f>
        <v>5.5</v>
      </c>
      <c r="CF12" s="484">
        <f>'Rail Crash Loading'!N10</f>
        <v>5.75</v>
      </c>
      <c r="CG12" s="484">
        <f>'Rail Crash Loading'!O10</f>
        <v>6</v>
      </c>
      <c r="CH12" s="485">
        <f>'Rail Crash Loading'!P10</f>
        <v>5.5</v>
      </c>
      <c r="CI12" s="497">
        <f>'Rail Crash Loading'!C29</f>
        <v>1.75</v>
      </c>
      <c r="CJ12" s="487" t="str">
        <f>'Rail Crash Loading'!D29</f>
        <v># 6</v>
      </c>
      <c r="CK12" s="484">
        <f>'Rail Crash Loading'!E29</f>
        <v>12.5</v>
      </c>
      <c r="CL12" s="484">
        <f>'Rail Crash Loading'!F29</f>
        <v>12.5</v>
      </c>
      <c r="CM12" s="484">
        <f>'Rail Crash Loading'!G29</f>
        <v>12.5</v>
      </c>
      <c r="CN12" s="484">
        <f>'Rail Crash Loading'!H29</f>
        <v>12.5</v>
      </c>
      <c r="CO12" s="484">
        <f>'Rail Crash Loading'!I29</f>
        <v>12.5</v>
      </c>
      <c r="CP12" s="485">
        <f>'Rail Crash Loading'!J29</f>
        <v>12.25</v>
      </c>
      <c r="CQ12" s="484">
        <f>'Rail Crash Loading'!K29</f>
        <v>8.25</v>
      </c>
      <c r="CR12" s="484">
        <f>'Rail Crash Loading'!L29</f>
        <v>7.75</v>
      </c>
      <c r="CS12" s="484">
        <f>'Rail Crash Loading'!M29</f>
        <v>8</v>
      </c>
      <c r="CT12" s="484">
        <f>'Rail Crash Loading'!N29</f>
        <v>8</v>
      </c>
      <c r="CU12" s="484">
        <f>'Rail Crash Loading'!O29</f>
        <v>8.5</v>
      </c>
      <c r="CV12" s="485">
        <f>'Rail Crash Loading'!P29</f>
        <v>7.75</v>
      </c>
    </row>
    <row r="13" spans="2:100" x14ac:dyDescent="0.2">
      <c r="B13" s="3"/>
      <c r="C13" s="395" t="s">
        <v>641</v>
      </c>
      <c r="D13" s="397">
        <f>VLOOKUP($D$8+0.2499,$L$10:$AB$54,2)</f>
        <v>8.25</v>
      </c>
      <c r="L13" s="267">
        <f>'English LRFD Working Area'!C13</f>
        <v>4.75</v>
      </c>
      <c r="M13" s="270">
        <f>'English LRFD Working Area'!P13</f>
        <v>7.5</v>
      </c>
      <c r="N13" s="378" t="str">
        <f>'English LRFD Working Area'!Q13</f>
        <v># 5</v>
      </c>
      <c r="O13" s="247">
        <f>MIN('English LRFD Working Area'!Y13:Z13)</f>
        <v>10</v>
      </c>
      <c r="P13" s="378" t="str">
        <f>'English LRFD Working Area'!R13</f>
        <v># 5</v>
      </c>
      <c r="Q13" s="234">
        <f>MIN(VLOOKUP($P13,$U$76:$V$78,2,FALSE),'English LRFD Working Area'!AC13:AD13)</f>
        <v>11</v>
      </c>
      <c r="R13" s="234">
        <f>MIN(VLOOKUP($P13,$U$76:$V$78,2,FALSE),'English LRFD Working Area'!AG13:AH13)</f>
        <v>9</v>
      </c>
      <c r="S13" s="234">
        <f>MIN(VLOOKUP($P13,$U$76:$V$78,2,FALSE),'English LRFD Working Area'!AK13:AL13)</f>
        <v>9.25</v>
      </c>
      <c r="T13" s="234">
        <f>MIN(VLOOKUP($P13,$U$76:$V$78,2,FALSE),'English LRFD Working Area'!AO13:AP13)</f>
        <v>10.25</v>
      </c>
      <c r="U13" s="234">
        <f>MIN(VLOOKUP($P13,$U$76:$V$78,2,FALSE),'English LRFD Working Area'!AS13:AT13)</f>
        <v>12</v>
      </c>
      <c r="V13" s="247">
        <f>MIN(VLOOKUP($P13,$U$76:$V$78,2,FALSE),'English LRFD Working Area'!AW13:AX13)</f>
        <v>8.25</v>
      </c>
      <c r="W13" s="246" t="str">
        <f>'English LRFD Working Area'!AY13</f>
        <v># 4</v>
      </c>
      <c r="X13" s="260">
        <f>'English LRFD Working Area'!BA13</f>
        <v>5</v>
      </c>
      <c r="Y13" s="237">
        <f>'English LRFD Working Area'!BB13</f>
        <v>6</v>
      </c>
      <c r="Z13" s="237">
        <f>'English LRFD Working Area'!BC13</f>
        <v>6</v>
      </c>
      <c r="AA13" s="237">
        <f>'English LRFD Working Area'!BD13</f>
        <v>5</v>
      </c>
      <c r="AB13" s="237">
        <f>'English LRFD Working Area'!BE13</f>
        <v>4</v>
      </c>
      <c r="AC13" s="261">
        <f>'English LRFD Working Area'!BF13</f>
        <v>6</v>
      </c>
      <c r="AF13" s="267">
        <f t="shared" si="7"/>
        <v>4.75</v>
      </c>
      <c r="AG13" s="270">
        <f t="shared" si="8"/>
        <v>7.5</v>
      </c>
      <c r="AH13" s="422">
        <f>'English LRFD Working Area'!BJ13</f>
        <v>4</v>
      </c>
      <c r="AI13" s="416">
        <f>'English LRFD Working Area'!BK13</f>
        <v>5.0714285714285712</v>
      </c>
      <c r="AJ13" s="401">
        <f>'English LRFD Working Area'!BL13</f>
        <v>6.5714285714285721</v>
      </c>
      <c r="AK13" s="401">
        <f>'English LRFD Working Area'!BM13</f>
        <v>6.1428571999999999</v>
      </c>
      <c r="AL13" s="401">
        <f>'English LRFD Working Area'!BN13</f>
        <v>5.5714285714285712</v>
      </c>
      <c r="AM13" s="401">
        <f>'English LRFD Working Area'!BO13</f>
        <v>4.2857142857142856</v>
      </c>
      <c r="AN13" s="417">
        <f>'English LRFD Working Area'!BP13</f>
        <v>7.2857142857142847</v>
      </c>
      <c r="AP13" s="267">
        <f t="shared" si="1"/>
        <v>4.75</v>
      </c>
      <c r="AQ13" s="470">
        <f>'English LRFD Working Area'!BR13</f>
        <v>0.67</v>
      </c>
      <c r="AR13" s="464">
        <f>'English LRFD Working Area'!BS13</f>
        <v>0.67</v>
      </c>
      <c r="AS13" s="464">
        <f>'English LRFD Working Area'!BT13</f>
        <v>0.67</v>
      </c>
      <c r="AT13" s="464">
        <f>'English LRFD Working Area'!BU13</f>
        <v>0.67</v>
      </c>
      <c r="AU13" s="464">
        <f>'English LRFD Working Area'!BV13</f>
        <v>0.67</v>
      </c>
      <c r="AV13" s="471">
        <f>'English LRFD Working Area'!BW13</f>
        <v>0.67</v>
      </c>
      <c r="AX13" s="287" t="str">
        <f t="shared" si="2"/>
        <v>M72</v>
      </c>
      <c r="AY13" s="289">
        <f>T6</f>
        <v>9</v>
      </c>
      <c r="AZ13" s="288">
        <f>AA6</f>
        <v>16</v>
      </c>
      <c r="BA13" s="287">
        <f t="shared" si="9"/>
        <v>3</v>
      </c>
      <c r="BB13" s="288">
        <f>AL6</f>
        <v>7</v>
      </c>
      <c r="BC13" s="467">
        <f>'English LRFD Working Area'!CI82</f>
        <v>1.5</v>
      </c>
      <c r="BF13" s="62">
        <f t="shared" si="3"/>
        <v>6.083333333333333</v>
      </c>
      <c r="BG13" s="63">
        <f t="shared" si="3"/>
        <v>6.625</v>
      </c>
      <c r="BH13" s="63">
        <f t="shared" si="3"/>
        <v>6.4166666666666661</v>
      </c>
      <c r="BI13" s="63">
        <f t="shared" si="3"/>
        <v>6.75</v>
      </c>
      <c r="BJ13" s="63">
        <f t="shared" si="3"/>
        <v>6.333333333333333</v>
      </c>
      <c r="BK13" s="63">
        <f t="shared" si="3"/>
        <v>5.583333333333333</v>
      </c>
      <c r="BL13" s="64">
        <f t="shared" si="3"/>
        <v>7.083333333333333</v>
      </c>
      <c r="BM13" s="70">
        <v>5.083333333333333</v>
      </c>
      <c r="BN13" s="8">
        <v>7.5</v>
      </c>
      <c r="BO13" s="6" t="s">
        <v>41</v>
      </c>
      <c r="BP13" s="9">
        <v>8.75</v>
      </c>
      <c r="BQ13" s="6">
        <v>4</v>
      </c>
      <c r="BR13" s="6">
        <v>1</v>
      </c>
      <c r="BS13" s="7">
        <f t="shared" si="4"/>
        <v>9</v>
      </c>
      <c r="BU13" s="497">
        <f>'Rail Crash Loading'!C11</f>
        <v>2</v>
      </c>
      <c r="BV13" s="378" t="str">
        <f>'Rail Crash Loading'!D11</f>
        <v># 5</v>
      </c>
      <c r="BW13" s="484">
        <f>'Rail Crash Loading'!E11</f>
        <v>8.75</v>
      </c>
      <c r="BX13" s="484">
        <f>'Rail Crash Loading'!F11</f>
        <v>8.5</v>
      </c>
      <c r="BY13" s="484">
        <f>'Rail Crash Loading'!G11</f>
        <v>8.5</v>
      </c>
      <c r="BZ13" s="484">
        <f>'Rail Crash Loading'!H11</f>
        <v>8.75</v>
      </c>
      <c r="CA13" s="484">
        <f>'Rail Crash Loading'!I11</f>
        <v>8.75</v>
      </c>
      <c r="CB13" s="485">
        <f>'Rail Crash Loading'!J11</f>
        <v>8.25</v>
      </c>
      <c r="CC13" s="484">
        <f>'Rail Crash Loading'!K11</f>
        <v>6</v>
      </c>
      <c r="CD13" s="484">
        <f>'Rail Crash Loading'!L11</f>
        <v>5.75</v>
      </c>
      <c r="CE13" s="484">
        <f>'Rail Crash Loading'!M11</f>
        <v>5.75</v>
      </c>
      <c r="CF13" s="484">
        <f>'Rail Crash Loading'!N11</f>
        <v>6</v>
      </c>
      <c r="CG13" s="484">
        <f>'Rail Crash Loading'!O11</f>
        <v>6.25</v>
      </c>
      <c r="CH13" s="485">
        <f>'Rail Crash Loading'!P11</f>
        <v>5.75</v>
      </c>
      <c r="CI13" s="497">
        <f>'Rail Crash Loading'!C30</f>
        <v>2</v>
      </c>
      <c r="CJ13" s="487" t="str">
        <f>'Rail Crash Loading'!D30</f>
        <v># 6</v>
      </c>
      <c r="CK13" s="484">
        <f>'Rail Crash Loading'!E30</f>
        <v>12.5</v>
      </c>
      <c r="CL13" s="484">
        <f>'Rail Crash Loading'!F30</f>
        <v>12</v>
      </c>
      <c r="CM13" s="484">
        <f>'Rail Crash Loading'!G30</f>
        <v>12.25</v>
      </c>
      <c r="CN13" s="484">
        <f>'Rail Crash Loading'!H30</f>
        <v>12.5</v>
      </c>
      <c r="CO13" s="484">
        <f>'Rail Crash Loading'!I30</f>
        <v>12.5</v>
      </c>
      <c r="CP13" s="485">
        <f>'Rail Crash Loading'!J30</f>
        <v>11.75</v>
      </c>
      <c r="CQ13" s="484">
        <f>'Rail Crash Loading'!K30</f>
        <v>8.75</v>
      </c>
      <c r="CR13" s="484">
        <f>'Rail Crash Loading'!L30</f>
        <v>8.25</v>
      </c>
      <c r="CS13" s="484">
        <f>'Rail Crash Loading'!M30</f>
        <v>8.25</v>
      </c>
      <c r="CT13" s="484">
        <f>'Rail Crash Loading'!N30</f>
        <v>8.5</v>
      </c>
      <c r="CU13" s="484">
        <f>'Rail Crash Loading'!O30</f>
        <v>8.75</v>
      </c>
      <c r="CV13" s="485">
        <f>'Rail Crash Loading'!P30</f>
        <v>8.25</v>
      </c>
    </row>
    <row r="14" spans="2:100" ht="13.5" thickBot="1" x14ac:dyDescent="0.25">
      <c r="B14" s="35"/>
      <c r="C14" s="394" t="s">
        <v>399</v>
      </c>
      <c r="D14" s="392">
        <f>IF(D13+$G$51&lt;$G$50,$G$50,D13+$G$51)</f>
        <v>9.75</v>
      </c>
      <c r="L14" s="267">
        <f>'English LRFD Working Area'!C14</f>
        <v>5</v>
      </c>
      <c r="M14" s="270">
        <f>'English LRFD Working Area'!P14</f>
        <v>7.5</v>
      </c>
      <c r="N14" s="378" t="str">
        <f>'English LRFD Working Area'!Q14</f>
        <v># 5</v>
      </c>
      <c r="O14" s="247">
        <f>MIN('English LRFD Working Area'!Y14:Z14)</f>
        <v>10</v>
      </c>
      <c r="P14" s="378" t="str">
        <f>'English LRFD Working Area'!R14</f>
        <v># 5</v>
      </c>
      <c r="Q14" s="234">
        <f>MIN(VLOOKUP($P14,$U$76:$V$78,2,FALSE),'English LRFD Working Area'!AC14:AD14)</f>
        <v>10.75</v>
      </c>
      <c r="R14" s="234">
        <f>MIN(VLOOKUP($P14,$U$76:$V$78,2,FALSE),'English LRFD Working Area'!AG14:AH14)</f>
        <v>8.5</v>
      </c>
      <c r="S14" s="234">
        <f>MIN(VLOOKUP($P14,$U$76:$V$78,2,FALSE),'English LRFD Working Area'!AK14:AL14)</f>
        <v>8.75</v>
      </c>
      <c r="T14" s="234">
        <f>MIN(VLOOKUP($P14,$U$76:$V$78,2,FALSE),'English LRFD Working Area'!AO14:AP14)</f>
        <v>10</v>
      </c>
      <c r="U14" s="234">
        <f>MIN(VLOOKUP($P14,$U$76:$V$78,2,FALSE),'English LRFD Working Area'!AS14:AT14)</f>
        <v>11.75</v>
      </c>
      <c r="V14" s="247">
        <f>MIN(VLOOKUP($P14,$U$76:$V$78,2,FALSE),'English LRFD Working Area'!AW14:AX14)</f>
        <v>7.75</v>
      </c>
      <c r="W14" s="246" t="str">
        <f>'English LRFD Working Area'!AY14</f>
        <v># 4</v>
      </c>
      <c r="X14" s="260">
        <f>'English LRFD Working Area'!BA14</f>
        <v>5</v>
      </c>
      <c r="Y14" s="237">
        <f>'English LRFD Working Area'!BB14</f>
        <v>6</v>
      </c>
      <c r="Z14" s="237">
        <f>'English LRFD Working Area'!BC14</f>
        <v>6</v>
      </c>
      <c r="AA14" s="237">
        <f>'English LRFD Working Area'!BD14</f>
        <v>6</v>
      </c>
      <c r="AB14" s="237">
        <f>'English LRFD Working Area'!BE14</f>
        <v>5</v>
      </c>
      <c r="AC14" s="261">
        <f>'English LRFD Working Area'!BF14</f>
        <v>7</v>
      </c>
      <c r="AF14" s="267">
        <f t="shared" si="7"/>
        <v>5</v>
      </c>
      <c r="AG14" s="270">
        <f t="shared" si="8"/>
        <v>7.5</v>
      </c>
      <c r="AH14" s="422">
        <f>'English LRFD Working Area'!BJ14</f>
        <v>4</v>
      </c>
      <c r="AI14" s="416">
        <f>'English LRFD Working Area'!BK14</f>
        <v>5.5</v>
      </c>
      <c r="AJ14" s="401">
        <f>'English LRFD Working Area'!BL14</f>
        <v>6.9999999999999991</v>
      </c>
      <c r="AK14" s="401">
        <f>'English LRFD Working Area'!BM14</f>
        <v>6.5714286285714278</v>
      </c>
      <c r="AL14" s="401">
        <f>'English LRFD Working Area'!BN14</f>
        <v>6</v>
      </c>
      <c r="AM14" s="401">
        <f>'English LRFD Working Area'!BO14</f>
        <v>4.7142857142857144</v>
      </c>
      <c r="AN14" s="417">
        <f>'English LRFD Working Area'!BP14</f>
        <v>7.7142857142857153</v>
      </c>
      <c r="AP14" s="267">
        <f t="shared" si="1"/>
        <v>5</v>
      </c>
      <c r="AQ14" s="470">
        <f>'English LRFD Working Area'!BR14</f>
        <v>0.67</v>
      </c>
      <c r="AR14" s="464">
        <f>'English LRFD Working Area'!BS14</f>
        <v>0.67</v>
      </c>
      <c r="AS14" s="464">
        <f>'English LRFD Working Area'!BT14</f>
        <v>0.67</v>
      </c>
      <c r="AT14" s="464">
        <f>'English LRFD Working Area'!BU14</f>
        <v>0.67</v>
      </c>
      <c r="AU14" s="464">
        <f>'English LRFD Working Area'!BV14</f>
        <v>0.67</v>
      </c>
      <c r="AV14" s="471">
        <f>'English LRFD Working Area'!BW14</f>
        <v>0.67</v>
      </c>
      <c r="AX14" s="287" t="str">
        <f t="shared" si="2"/>
        <v>MTS-36</v>
      </c>
      <c r="AY14" s="289">
        <f>U6</f>
        <v>10</v>
      </c>
      <c r="AZ14" s="288">
        <f>AB6</f>
        <v>17</v>
      </c>
      <c r="BA14" s="287">
        <f t="shared" si="9"/>
        <v>3</v>
      </c>
      <c r="BB14" s="288">
        <f>AM6</f>
        <v>8</v>
      </c>
      <c r="BC14" s="467">
        <f>'English LRFD Working Area'!CI83</f>
        <v>2.25</v>
      </c>
      <c r="BF14" s="62">
        <f t="shared" si="3"/>
        <v>6.333333333333333</v>
      </c>
      <c r="BG14" s="63">
        <f t="shared" si="3"/>
        <v>6.875</v>
      </c>
      <c r="BH14" s="63">
        <f t="shared" si="3"/>
        <v>6.6666666666666661</v>
      </c>
      <c r="BI14" s="63">
        <f t="shared" si="3"/>
        <v>7</v>
      </c>
      <c r="BJ14" s="63">
        <f t="shared" si="3"/>
        <v>6.583333333333333</v>
      </c>
      <c r="BK14" s="63">
        <f t="shared" si="3"/>
        <v>5.833333333333333</v>
      </c>
      <c r="BL14" s="64">
        <f t="shared" si="3"/>
        <v>7.333333333333333</v>
      </c>
      <c r="BM14" s="70">
        <v>5.333333333333333</v>
      </c>
      <c r="BN14" s="8">
        <v>7.5</v>
      </c>
      <c r="BO14" s="6" t="s">
        <v>41</v>
      </c>
      <c r="BP14" s="9">
        <v>8.5</v>
      </c>
      <c r="BQ14" s="6">
        <v>4</v>
      </c>
      <c r="BR14" s="6">
        <v>1</v>
      </c>
      <c r="BS14" s="7">
        <f t="shared" si="4"/>
        <v>9</v>
      </c>
      <c r="BU14" s="497">
        <f>'Rail Crash Loading'!C12</f>
        <v>2.25</v>
      </c>
      <c r="BV14" s="378" t="str">
        <f>'Rail Crash Loading'!D12</f>
        <v># 5</v>
      </c>
      <c r="BW14" s="484">
        <f>'Rail Crash Loading'!E12</f>
        <v>8.75</v>
      </c>
      <c r="BX14" s="484">
        <f>'Rail Crash Loading'!F12</f>
        <v>8.25</v>
      </c>
      <c r="BY14" s="484">
        <f>'Rail Crash Loading'!G12</f>
        <v>8.25</v>
      </c>
      <c r="BZ14" s="484">
        <f>'Rail Crash Loading'!H12</f>
        <v>8.75</v>
      </c>
      <c r="CA14" s="484">
        <f>'Rail Crash Loading'!I12</f>
        <v>8.75</v>
      </c>
      <c r="CB14" s="485">
        <f>'Rail Crash Loading'!J12</f>
        <v>8</v>
      </c>
      <c r="CC14" s="484">
        <f>'Rail Crash Loading'!K12</f>
        <v>6.25</v>
      </c>
      <c r="CD14" s="484">
        <f>'Rail Crash Loading'!L12</f>
        <v>6</v>
      </c>
      <c r="CE14" s="484">
        <f>'Rail Crash Loading'!M12</f>
        <v>6</v>
      </c>
      <c r="CF14" s="484">
        <f>'Rail Crash Loading'!N12</f>
        <v>6.25</v>
      </c>
      <c r="CG14" s="484">
        <f>'Rail Crash Loading'!O12</f>
        <v>6.5</v>
      </c>
      <c r="CH14" s="485">
        <f>'Rail Crash Loading'!P12</f>
        <v>6</v>
      </c>
      <c r="CI14" s="497">
        <f>'Rail Crash Loading'!C31</f>
        <v>2.25</v>
      </c>
      <c r="CJ14" s="487" t="str">
        <f>'Rail Crash Loading'!D31</f>
        <v># 6</v>
      </c>
      <c r="CK14" s="484">
        <f>'Rail Crash Loading'!E31</f>
        <v>12.5</v>
      </c>
      <c r="CL14" s="484">
        <f>'Rail Crash Loading'!F31</f>
        <v>11.75</v>
      </c>
      <c r="CM14" s="484">
        <f>'Rail Crash Loading'!G31</f>
        <v>11.75</v>
      </c>
      <c r="CN14" s="484">
        <f>'Rail Crash Loading'!H31</f>
        <v>12.25</v>
      </c>
      <c r="CO14" s="484">
        <f>'Rail Crash Loading'!I31</f>
        <v>12.5</v>
      </c>
      <c r="CP14" s="485">
        <f>'Rail Crash Loading'!J31</f>
        <v>11.5</v>
      </c>
      <c r="CQ14" s="484">
        <f>'Rail Crash Loading'!K31</f>
        <v>9</v>
      </c>
      <c r="CR14" s="484">
        <f>'Rail Crash Loading'!L31</f>
        <v>8.5</v>
      </c>
      <c r="CS14" s="484">
        <f>'Rail Crash Loading'!M31</f>
        <v>8.75</v>
      </c>
      <c r="CT14" s="484">
        <f>'Rail Crash Loading'!N31</f>
        <v>8.75</v>
      </c>
      <c r="CU14" s="484">
        <f>'Rail Crash Loading'!O31</f>
        <v>9.25</v>
      </c>
      <c r="CV14" s="485">
        <f>'Rail Crash Loading'!P31</f>
        <v>8.5</v>
      </c>
    </row>
    <row r="15" spans="2:100" x14ac:dyDescent="0.2">
      <c r="B15" s="393" t="s">
        <v>19</v>
      </c>
      <c r="C15" s="4"/>
      <c r="D15" s="34" t="s">
        <v>17</v>
      </c>
      <c r="E15" s="47" t="s">
        <v>18</v>
      </c>
      <c r="I15" s="429" t="s">
        <v>407</v>
      </c>
      <c r="L15" s="267">
        <f>'English LRFD Working Area'!C15</f>
        <v>5.25</v>
      </c>
      <c r="M15" s="270">
        <f>'English LRFD Working Area'!P15</f>
        <v>7.5</v>
      </c>
      <c r="N15" s="378" t="str">
        <f>'English LRFD Working Area'!Q15</f>
        <v># 5</v>
      </c>
      <c r="O15" s="247">
        <f>MIN('English LRFD Working Area'!Y15:Z15)</f>
        <v>10</v>
      </c>
      <c r="P15" s="378" t="str">
        <f>'English LRFD Working Area'!R15</f>
        <v># 5</v>
      </c>
      <c r="Q15" s="234">
        <f>MIN(VLOOKUP($P15,$U$76:$V$78,2,FALSE),'English LRFD Working Area'!AC15:AD15)</f>
        <v>10.25</v>
      </c>
      <c r="R15" s="234">
        <f>MIN(VLOOKUP($P15,$U$76:$V$78,2,FALSE),'English LRFD Working Area'!AG15:AH15)</f>
        <v>8</v>
      </c>
      <c r="S15" s="234">
        <f>MIN(VLOOKUP($P15,$U$76:$V$78,2,FALSE),'English LRFD Working Area'!AK15:AL15)</f>
        <v>8.5</v>
      </c>
      <c r="T15" s="234">
        <f>MIN(VLOOKUP($P15,$U$76:$V$78,2,FALSE),'English LRFD Working Area'!AO15:AP15)</f>
        <v>9.5</v>
      </c>
      <c r="U15" s="234">
        <f>MIN(VLOOKUP($P15,$U$76:$V$78,2,FALSE),'English LRFD Working Area'!AS15:AT15)</f>
        <v>11.25</v>
      </c>
      <c r="V15" s="247">
        <f>MIN(VLOOKUP($P15,$U$76:$V$78,2,FALSE),'English LRFD Working Area'!AW15:AX15)</f>
        <v>7.25</v>
      </c>
      <c r="W15" s="246" t="str">
        <f>'English LRFD Working Area'!AY15</f>
        <v># 4</v>
      </c>
      <c r="X15" s="260">
        <f>'English LRFD Working Area'!BA15</f>
        <v>6</v>
      </c>
      <c r="Y15" s="237">
        <f>'English LRFD Working Area'!BB15</f>
        <v>7</v>
      </c>
      <c r="Z15" s="237">
        <f>'English LRFD Working Area'!BC15</f>
        <v>6</v>
      </c>
      <c r="AA15" s="237">
        <f>'English LRFD Working Area'!BD15</f>
        <v>6</v>
      </c>
      <c r="AB15" s="237">
        <f>'English LRFD Working Area'!BE15</f>
        <v>5</v>
      </c>
      <c r="AC15" s="261">
        <f>'English LRFD Working Area'!BF15</f>
        <v>7</v>
      </c>
      <c r="AF15" s="267">
        <f t="shared" si="7"/>
        <v>5.25</v>
      </c>
      <c r="AG15" s="270">
        <f t="shared" si="8"/>
        <v>7.5</v>
      </c>
      <c r="AH15" s="422">
        <f>'English LRFD Working Area'!BJ15</f>
        <v>4</v>
      </c>
      <c r="AI15" s="416">
        <f>'English LRFD Working Area'!BK15</f>
        <v>5.9285714285714279</v>
      </c>
      <c r="AJ15" s="401">
        <f>'English LRFD Working Area'!BL15</f>
        <v>7.428571428571427</v>
      </c>
      <c r="AK15" s="401">
        <f>'English LRFD Working Area'!BM15</f>
        <v>7.0000000571428558</v>
      </c>
      <c r="AL15" s="401">
        <f>'English LRFD Working Area'!BN15</f>
        <v>6.4285714285714288</v>
      </c>
      <c r="AM15" s="401">
        <f>'English LRFD Working Area'!BO15</f>
        <v>5.1428571428571423</v>
      </c>
      <c r="AN15" s="417">
        <f>'English LRFD Working Area'!BP15</f>
        <v>8.1428571428571423</v>
      </c>
      <c r="AP15" s="267">
        <f t="shared" si="1"/>
        <v>5.25</v>
      </c>
      <c r="AQ15" s="470">
        <f>'English LRFD Working Area'!BR15</f>
        <v>0.67</v>
      </c>
      <c r="AR15" s="464">
        <f>'English LRFD Working Area'!BS15</f>
        <v>0.67</v>
      </c>
      <c r="AS15" s="464">
        <f>'English LRFD Working Area'!BT15</f>
        <v>0.67</v>
      </c>
      <c r="AT15" s="464">
        <f>'English LRFD Working Area'!BU15</f>
        <v>0.67</v>
      </c>
      <c r="AU15" s="464">
        <f>'English LRFD Working Area'!BV15</f>
        <v>0.67</v>
      </c>
      <c r="AV15" s="471">
        <f>'English LRFD Working Area'!BW15</f>
        <v>0.67</v>
      </c>
      <c r="AX15" s="287" t="str">
        <f t="shared" si="2"/>
        <v>MTS-45</v>
      </c>
      <c r="AY15" s="289">
        <f t="shared" ref="AY15:AZ17" si="10">AY14</f>
        <v>10</v>
      </c>
      <c r="AZ15" s="288">
        <f t="shared" si="10"/>
        <v>17</v>
      </c>
      <c r="BA15" s="287">
        <f t="shared" si="9"/>
        <v>3</v>
      </c>
      <c r="BB15" s="288">
        <f>BB14</f>
        <v>8</v>
      </c>
      <c r="BC15" s="467">
        <f>'English LRFD Working Area'!CI84</f>
        <v>2.25</v>
      </c>
      <c r="BF15" s="62">
        <f t="shared" si="3"/>
        <v>6.583333333333333</v>
      </c>
      <c r="BG15" s="63">
        <f t="shared" si="3"/>
        <v>7.125</v>
      </c>
      <c r="BH15" s="63">
        <f t="shared" si="3"/>
        <v>6.9166666666666661</v>
      </c>
      <c r="BI15" s="63">
        <f t="shared" si="3"/>
        <v>7.25</v>
      </c>
      <c r="BJ15" s="63">
        <f t="shared" si="3"/>
        <v>6.833333333333333</v>
      </c>
      <c r="BK15" s="63">
        <f t="shared" si="3"/>
        <v>6.083333333333333</v>
      </c>
      <c r="BL15" s="64">
        <f t="shared" si="3"/>
        <v>7.583333333333333</v>
      </c>
      <c r="BM15" s="70">
        <v>5.583333333333333</v>
      </c>
      <c r="BN15" s="8">
        <v>7.5</v>
      </c>
      <c r="BO15" s="6" t="s">
        <v>41</v>
      </c>
      <c r="BP15" s="9">
        <v>8.25</v>
      </c>
      <c r="BQ15" s="6">
        <v>5</v>
      </c>
      <c r="BR15" s="6">
        <v>2</v>
      </c>
      <c r="BS15" s="7">
        <f t="shared" si="4"/>
        <v>9</v>
      </c>
      <c r="BU15" s="497">
        <f>'Rail Crash Loading'!C13</f>
        <v>2.5</v>
      </c>
      <c r="BV15" s="378" t="str">
        <f>'Rail Crash Loading'!D13</f>
        <v># 5</v>
      </c>
      <c r="BW15" s="484">
        <f>'Rail Crash Loading'!E13</f>
        <v>8.5</v>
      </c>
      <c r="BX15" s="484">
        <f>'Rail Crash Loading'!F13</f>
        <v>8</v>
      </c>
      <c r="BY15" s="484">
        <f>'Rail Crash Loading'!G13</f>
        <v>8</v>
      </c>
      <c r="BZ15" s="484">
        <f>'Rail Crash Loading'!H13</f>
        <v>8.25</v>
      </c>
      <c r="CA15" s="484">
        <f>'Rail Crash Loading'!I13</f>
        <v>8.75</v>
      </c>
      <c r="CB15" s="485">
        <f>'Rail Crash Loading'!J13</f>
        <v>7.75</v>
      </c>
      <c r="CC15" s="484">
        <f>'Rail Crash Loading'!K13</f>
        <v>6.5</v>
      </c>
      <c r="CD15" s="484">
        <f>'Rail Crash Loading'!L13</f>
        <v>6.25</v>
      </c>
      <c r="CE15" s="484">
        <f>'Rail Crash Loading'!M13</f>
        <v>6.25</v>
      </c>
      <c r="CF15" s="484">
        <f>'Rail Crash Loading'!N13</f>
        <v>6.5</v>
      </c>
      <c r="CG15" s="484">
        <f>'Rail Crash Loading'!O13</f>
        <v>6.5</v>
      </c>
      <c r="CH15" s="485">
        <f>'Rail Crash Loading'!P13</f>
        <v>6</v>
      </c>
      <c r="CI15" s="497">
        <f>'Rail Crash Loading'!C32</f>
        <v>2.5</v>
      </c>
      <c r="CJ15" s="487" t="str">
        <f>'Rail Crash Loading'!D32</f>
        <v># 6</v>
      </c>
      <c r="CK15" s="484">
        <f>'Rail Crash Loading'!E32</f>
        <v>12.25</v>
      </c>
      <c r="CL15" s="484">
        <f>'Rail Crash Loading'!F32</f>
        <v>11.25</v>
      </c>
      <c r="CM15" s="484">
        <f>'Rail Crash Loading'!G32</f>
        <v>11.5</v>
      </c>
      <c r="CN15" s="484">
        <f>'Rail Crash Loading'!H32</f>
        <v>11.75</v>
      </c>
      <c r="CO15" s="484">
        <f>'Rail Crash Loading'!I32</f>
        <v>12.5</v>
      </c>
      <c r="CP15" s="485">
        <f>'Rail Crash Loading'!J32</f>
        <v>11</v>
      </c>
      <c r="CQ15" s="484">
        <f>'Rail Crash Loading'!K32</f>
        <v>9.25</v>
      </c>
      <c r="CR15" s="484">
        <f>'Rail Crash Loading'!L32</f>
        <v>8.75</v>
      </c>
      <c r="CS15" s="484">
        <f>'Rail Crash Loading'!M32</f>
        <v>9</v>
      </c>
      <c r="CT15" s="484">
        <f>'Rail Crash Loading'!N32</f>
        <v>9.25</v>
      </c>
      <c r="CU15" s="484">
        <f>'Rail Crash Loading'!O32</f>
        <v>9.25</v>
      </c>
      <c r="CV15" s="485">
        <f>'Rail Crash Loading'!P32</f>
        <v>8.75</v>
      </c>
    </row>
    <row r="16" spans="2:100" x14ac:dyDescent="0.2">
      <c r="B16" s="37"/>
      <c r="C16" s="6" t="s">
        <v>363</v>
      </c>
      <c r="D16" s="241" t="str">
        <f>VLOOKUP($D$8+0.2499,$L$10:$AB$54,P6)</f>
        <v># 5</v>
      </c>
      <c r="E16" s="396">
        <f>MIN(I9:I10)</f>
        <v>6.5</v>
      </c>
      <c r="F16" s="561" t="str">
        <f>VLOOKUP(E16,I9:J10,2,FALSE)</f>
        <v>(Normal Traffic Controlled *)</v>
      </c>
      <c r="I16" s="428">
        <f>VLOOKUP($D$8+0.2499,$AF$10:$AN$54,VLOOKUP($D$7,$AX$10:$BB$18,4))</f>
        <v>4.75</v>
      </c>
      <c r="L16" s="267">
        <f>'English LRFD Working Area'!C16</f>
        <v>5.5</v>
      </c>
      <c r="M16" s="270">
        <f>'English LRFD Working Area'!P16</f>
        <v>7.5</v>
      </c>
      <c r="N16" s="378" t="str">
        <f>'English LRFD Working Area'!Q16</f>
        <v># 5</v>
      </c>
      <c r="O16" s="247">
        <f>MIN('English LRFD Working Area'!Y16:Z16)</f>
        <v>10</v>
      </c>
      <c r="P16" s="378" t="str">
        <f>'English LRFD Working Area'!R16</f>
        <v># 5</v>
      </c>
      <c r="Q16" s="234">
        <f>MIN(VLOOKUP($P16,$U$76:$V$78,2,FALSE),'English LRFD Working Area'!AC16:AD16)</f>
        <v>9.75</v>
      </c>
      <c r="R16" s="234">
        <f>MIN(VLOOKUP($P16,$U$76:$V$78,2,FALSE),'English LRFD Working Area'!AG16:AH16)</f>
        <v>7.5</v>
      </c>
      <c r="S16" s="234">
        <f>MIN(VLOOKUP($P16,$U$76:$V$78,2,FALSE),'English LRFD Working Area'!AK16:AL16)</f>
        <v>8</v>
      </c>
      <c r="T16" s="234">
        <f>MIN(VLOOKUP($P16,$U$76:$V$78,2,FALSE),'English LRFD Working Area'!AO16:AP16)</f>
        <v>9</v>
      </c>
      <c r="U16" s="234">
        <f>MIN(VLOOKUP($P16,$U$76:$V$78,2,FALSE),'English LRFD Working Area'!AS16:AT16)</f>
        <v>11</v>
      </c>
      <c r="V16" s="247">
        <f>MIN(VLOOKUP($P16,$U$76:$V$78,2,FALSE),'English LRFD Working Area'!AW16:AX16)</f>
        <v>7</v>
      </c>
      <c r="W16" s="246" t="str">
        <f>'English LRFD Working Area'!AY16</f>
        <v># 4</v>
      </c>
      <c r="X16" s="260">
        <f>'English LRFD Working Area'!BA16</f>
        <v>6</v>
      </c>
      <c r="Y16" s="237">
        <f>'English LRFD Working Area'!BB16</f>
        <v>7</v>
      </c>
      <c r="Z16" s="237">
        <f>'English LRFD Working Area'!BC16</f>
        <v>7</v>
      </c>
      <c r="AA16" s="237">
        <f>'English LRFD Working Area'!BD16</f>
        <v>6</v>
      </c>
      <c r="AB16" s="237">
        <f>'English LRFD Working Area'!BE16</f>
        <v>5</v>
      </c>
      <c r="AC16" s="261">
        <f>'English LRFD Working Area'!BF16</f>
        <v>7</v>
      </c>
      <c r="AF16" s="267">
        <f t="shared" si="7"/>
        <v>5.5</v>
      </c>
      <c r="AG16" s="270">
        <f t="shared" si="8"/>
        <v>7.5</v>
      </c>
      <c r="AH16" s="422">
        <f>'English LRFD Working Area'!BJ16</f>
        <v>4</v>
      </c>
      <c r="AI16" s="416">
        <f>'English LRFD Working Area'!BK16</f>
        <v>6.3571428571428577</v>
      </c>
      <c r="AJ16" s="401">
        <f>'English LRFD Working Area'!BL16</f>
        <v>7.8571428571428577</v>
      </c>
      <c r="AK16" s="401">
        <f>'English LRFD Working Area'!BM16</f>
        <v>7.4285714857142864</v>
      </c>
      <c r="AL16" s="401">
        <f>'English LRFD Working Area'!BN16</f>
        <v>6.8571428571428568</v>
      </c>
      <c r="AM16" s="401">
        <f>'English LRFD Working Area'!BO16</f>
        <v>5.5714285714285712</v>
      </c>
      <c r="AN16" s="417">
        <f>'English LRFD Working Area'!BP16</f>
        <v>8.5714285714285712</v>
      </c>
      <c r="AP16" s="267">
        <f t="shared" si="1"/>
        <v>5.5</v>
      </c>
      <c r="AQ16" s="470">
        <f>'English LRFD Working Area'!BR16</f>
        <v>0.67</v>
      </c>
      <c r="AR16" s="464">
        <f>'English LRFD Working Area'!BS16</f>
        <v>0.67</v>
      </c>
      <c r="AS16" s="464">
        <f>'English LRFD Working Area'!BT16</f>
        <v>0.67</v>
      </c>
      <c r="AT16" s="464">
        <f>'English LRFD Working Area'!BU16</f>
        <v>0.67</v>
      </c>
      <c r="AU16" s="464">
        <f>'English LRFD Working Area'!BV16</f>
        <v>0.67</v>
      </c>
      <c r="AV16" s="471">
        <f>'English LRFD Working Area'!BW16</f>
        <v>0.67</v>
      </c>
      <c r="AX16" s="287" t="str">
        <f t="shared" si="2"/>
        <v>MTS-54</v>
      </c>
      <c r="AY16" s="289">
        <f t="shared" si="10"/>
        <v>10</v>
      </c>
      <c r="AZ16" s="288">
        <f t="shared" si="10"/>
        <v>17</v>
      </c>
      <c r="BA16" s="287">
        <f t="shared" si="9"/>
        <v>3</v>
      </c>
      <c r="BB16" s="288">
        <f>BB15</f>
        <v>8</v>
      </c>
      <c r="BC16" s="467">
        <f>'English LRFD Working Area'!CI85</f>
        <v>2.25</v>
      </c>
      <c r="BF16" s="62">
        <f t="shared" si="3"/>
        <v>6.75</v>
      </c>
      <c r="BG16" s="63">
        <f t="shared" si="3"/>
        <v>7.291666666666667</v>
      </c>
      <c r="BH16" s="63">
        <f t="shared" si="3"/>
        <v>7.083333333333333</v>
      </c>
      <c r="BI16" s="63">
        <f t="shared" si="3"/>
        <v>7.4166666666666661</v>
      </c>
      <c r="BJ16" s="63">
        <f t="shared" si="3"/>
        <v>7</v>
      </c>
      <c r="BK16" s="63">
        <f t="shared" si="3"/>
        <v>6.25</v>
      </c>
      <c r="BL16" s="64">
        <f t="shared" si="3"/>
        <v>7.75</v>
      </c>
      <c r="BM16" s="70">
        <v>5.75</v>
      </c>
      <c r="BN16" s="8">
        <v>7.5</v>
      </c>
      <c r="BO16" s="6" t="s">
        <v>41</v>
      </c>
      <c r="BP16" s="9">
        <v>8</v>
      </c>
      <c r="BQ16" s="6">
        <v>5</v>
      </c>
      <c r="BR16" s="6">
        <v>2</v>
      </c>
      <c r="BS16" s="7">
        <f t="shared" si="4"/>
        <v>9</v>
      </c>
      <c r="BU16" s="497">
        <f>'Rail Crash Loading'!C14</f>
        <v>2.75</v>
      </c>
      <c r="BV16" s="378" t="str">
        <f>'Rail Crash Loading'!D14</f>
        <v># 5</v>
      </c>
      <c r="BW16" s="484">
        <f>'Rail Crash Loading'!E14</f>
        <v>8.25</v>
      </c>
      <c r="BX16" s="484">
        <f>'Rail Crash Loading'!F14</f>
        <v>7.5</v>
      </c>
      <c r="BY16" s="484">
        <f>'Rail Crash Loading'!G14</f>
        <v>7.75</v>
      </c>
      <c r="BZ16" s="484">
        <f>'Rail Crash Loading'!H14</f>
        <v>8</v>
      </c>
      <c r="CA16" s="484">
        <f>'Rail Crash Loading'!I14</f>
        <v>8.75</v>
      </c>
      <c r="CB16" s="485">
        <f>'Rail Crash Loading'!J14</f>
        <v>7.5</v>
      </c>
      <c r="CC16" s="484">
        <f>'Rail Crash Loading'!K14</f>
        <v>6.5</v>
      </c>
      <c r="CD16" s="484">
        <f>'Rail Crash Loading'!L14</f>
        <v>6.25</v>
      </c>
      <c r="CE16" s="484">
        <f>'Rail Crash Loading'!M14</f>
        <v>6.5</v>
      </c>
      <c r="CF16" s="484">
        <f>'Rail Crash Loading'!N14</f>
        <v>6.5</v>
      </c>
      <c r="CG16" s="484">
        <f>'Rail Crash Loading'!O14</f>
        <v>6.5</v>
      </c>
      <c r="CH16" s="485">
        <f>'Rail Crash Loading'!P14</f>
        <v>6.25</v>
      </c>
      <c r="CI16" s="497">
        <f>'Rail Crash Loading'!C33</f>
        <v>2.75</v>
      </c>
      <c r="CJ16" s="487" t="str">
        <f>'Rail Crash Loading'!D33</f>
        <v># 6</v>
      </c>
      <c r="CK16" s="484">
        <f>'Rail Crash Loading'!E33</f>
        <v>11.75</v>
      </c>
      <c r="CL16" s="484">
        <f>'Rail Crash Loading'!F33</f>
        <v>10.75</v>
      </c>
      <c r="CM16" s="484">
        <f>'Rail Crash Loading'!G33</f>
        <v>11</v>
      </c>
      <c r="CN16" s="484">
        <f>'Rail Crash Loading'!H33</f>
        <v>11.5</v>
      </c>
      <c r="CO16" s="484">
        <f>'Rail Crash Loading'!I33</f>
        <v>12.25</v>
      </c>
      <c r="CP16" s="485">
        <f>'Rail Crash Loading'!J33</f>
        <v>10.75</v>
      </c>
      <c r="CQ16" s="484">
        <f>'Rail Crash Loading'!K33</f>
        <v>9.25</v>
      </c>
      <c r="CR16" s="484">
        <f>'Rail Crash Loading'!L33</f>
        <v>9</v>
      </c>
      <c r="CS16" s="484">
        <f>'Rail Crash Loading'!M33</f>
        <v>9.25</v>
      </c>
      <c r="CT16" s="484">
        <f>'Rail Crash Loading'!N33</f>
        <v>9.25</v>
      </c>
      <c r="CU16" s="484">
        <f>'Rail Crash Loading'!O33</f>
        <v>9.25</v>
      </c>
      <c r="CV16" s="485">
        <f>'Rail Crash Loading'!P33</f>
        <v>9</v>
      </c>
    </row>
    <row r="17" spans="2:100" ht="13.5" thickBot="1" x14ac:dyDescent="0.25">
      <c r="B17" s="35"/>
      <c r="C17" s="11" t="s">
        <v>336</v>
      </c>
      <c r="D17" s="302" t="str">
        <f>VLOOKUP($D$8+0.2499,$L$10:$AB$54,3)</f>
        <v># 5</v>
      </c>
      <c r="E17" s="392">
        <f>VLOOKUP($D$8+0.2499,$L$10:$AB$54,4)</f>
        <v>7.25</v>
      </c>
      <c r="I17" t="s">
        <v>410</v>
      </c>
      <c r="L17" s="267">
        <f>'English LRFD Working Area'!C17</f>
        <v>5.75</v>
      </c>
      <c r="M17" s="270">
        <f>'English LRFD Working Area'!P17</f>
        <v>7.5</v>
      </c>
      <c r="N17" s="378" t="str">
        <f>'English LRFD Working Area'!Q17</f>
        <v># 5</v>
      </c>
      <c r="O17" s="247">
        <f>MIN('English LRFD Working Area'!Y17:Z17)</f>
        <v>9.75</v>
      </c>
      <c r="P17" s="378" t="str">
        <f>'English LRFD Working Area'!R17</f>
        <v># 5</v>
      </c>
      <c r="Q17" s="234">
        <f>MIN(VLOOKUP($P17,$U$76:$V$78,2,FALSE),'English LRFD Working Area'!AC17:AD17)</f>
        <v>9.5</v>
      </c>
      <c r="R17" s="234">
        <f>MIN(VLOOKUP($P17,$U$76:$V$78,2,FALSE),'English LRFD Working Area'!AG17:AH17)</f>
        <v>7.25</v>
      </c>
      <c r="S17" s="234">
        <f>MIN(VLOOKUP($P17,$U$76:$V$78,2,FALSE),'English LRFD Working Area'!AK17:AL17)</f>
        <v>7.75</v>
      </c>
      <c r="T17" s="234">
        <f>MIN(VLOOKUP($P17,$U$76:$V$78,2,FALSE),'English LRFD Working Area'!AO17:AP17)</f>
        <v>8.75</v>
      </c>
      <c r="U17" s="234">
        <f>MIN(VLOOKUP($P17,$U$76:$V$78,2,FALSE),'English LRFD Working Area'!AS17:AT17)</f>
        <v>10.5</v>
      </c>
      <c r="V17" s="247">
        <f>MIN(VLOOKUP($P17,$U$76:$V$78,2,FALSE),'English LRFD Working Area'!AW17:AX17)</f>
        <v>6.75</v>
      </c>
      <c r="W17" s="246" t="str">
        <f>'English LRFD Working Area'!AY17</f>
        <v># 4</v>
      </c>
      <c r="X17" s="260">
        <f>'English LRFD Working Area'!BA17</f>
        <v>6</v>
      </c>
      <c r="Y17" s="237">
        <f>'English LRFD Working Area'!BB17</f>
        <v>7</v>
      </c>
      <c r="Z17" s="237">
        <f>'English LRFD Working Area'!BC17</f>
        <v>7</v>
      </c>
      <c r="AA17" s="237">
        <f>'English LRFD Working Area'!BD17</f>
        <v>7</v>
      </c>
      <c r="AB17" s="237">
        <f>'English LRFD Working Area'!BE17</f>
        <v>6</v>
      </c>
      <c r="AC17" s="261">
        <f>'English LRFD Working Area'!BF17</f>
        <v>8</v>
      </c>
      <c r="AF17" s="267">
        <f t="shared" si="7"/>
        <v>5.75</v>
      </c>
      <c r="AG17" s="270">
        <f t="shared" si="8"/>
        <v>7.5</v>
      </c>
      <c r="AH17" s="422">
        <f>'English LRFD Working Area'!BJ17</f>
        <v>4</v>
      </c>
      <c r="AI17" s="416">
        <f>'English LRFD Working Area'!BK17</f>
        <v>6.7857142857142856</v>
      </c>
      <c r="AJ17" s="401">
        <f>'English LRFD Working Area'!BL17</f>
        <v>8.2857142857142847</v>
      </c>
      <c r="AK17" s="401">
        <f>'English LRFD Working Area'!BM17</f>
        <v>7.8571429142857143</v>
      </c>
      <c r="AL17" s="401">
        <f>'English LRFD Working Area'!BN17</f>
        <v>7.2857142857142847</v>
      </c>
      <c r="AM17" s="401">
        <f>'English LRFD Working Area'!BO17</f>
        <v>6</v>
      </c>
      <c r="AN17" s="417">
        <f>'English LRFD Working Area'!BP17</f>
        <v>9</v>
      </c>
      <c r="AP17" s="267">
        <f t="shared" si="1"/>
        <v>5.75</v>
      </c>
      <c r="AQ17" s="470">
        <f>'English LRFD Working Area'!BR17</f>
        <v>0.67</v>
      </c>
      <c r="AR17" s="464">
        <f>'English LRFD Working Area'!BS17</f>
        <v>0.67</v>
      </c>
      <c r="AS17" s="464">
        <f>'English LRFD Working Area'!BT17</f>
        <v>0.67</v>
      </c>
      <c r="AT17" s="464">
        <f>'English LRFD Working Area'!BU17</f>
        <v>0.67</v>
      </c>
      <c r="AU17" s="464">
        <f>'English LRFD Working Area'!BV17</f>
        <v>0.67</v>
      </c>
      <c r="AV17" s="471">
        <f>'English LRFD Working Area'!BW17</f>
        <v>0.67</v>
      </c>
      <c r="AX17" s="287" t="str">
        <f t="shared" si="2"/>
        <v>MTS-72</v>
      </c>
      <c r="AY17" s="289">
        <f t="shared" si="10"/>
        <v>10</v>
      </c>
      <c r="AZ17" s="288">
        <f t="shared" si="10"/>
        <v>17</v>
      </c>
      <c r="BA17" s="287">
        <f t="shared" si="9"/>
        <v>3</v>
      </c>
      <c r="BB17" s="288">
        <f>BB16</f>
        <v>8</v>
      </c>
      <c r="BC17" s="467">
        <f>'English LRFD Working Area'!CI86</f>
        <v>2.25</v>
      </c>
      <c r="BF17" s="62">
        <f t="shared" si="3"/>
        <v>7</v>
      </c>
      <c r="BG17" s="63">
        <f t="shared" si="3"/>
        <v>7.541666666666667</v>
      </c>
      <c r="BH17" s="63">
        <f t="shared" si="3"/>
        <v>7.333333333333333</v>
      </c>
      <c r="BI17" s="63">
        <f t="shared" si="3"/>
        <v>7.6666666666666661</v>
      </c>
      <c r="BJ17" s="63">
        <f t="shared" si="3"/>
        <v>7.25</v>
      </c>
      <c r="BK17" s="63">
        <f t="shared" si="3"/>
        <v>6.5</v>
      </c>
      <c r="BL17" s="64">
        <f t="shared" si="3"/>
        <v>8</v>
      </c>
      <c r="BM17" s="70">
        <v>6</v>
      </c>
      <c r="BN17" s="8">
        <v>7.5</v>
      </c>
      <c r="BO17" s="6" t="s">
        <v>41</v>
      </c>
      <c r="BP17" s="9">
        <v>7.75</v>
      </c>
      <c r="BQ17" s="6">
        <v>5</v>
      </c>
      <c r="BR17" s="6">
        <v>2</v>
      </c>
      <c r="BS17" s="7">
        <f t="shared" si="4"/>
        <v>9</v>
      </c>
      <c r="BU17" s="497">
        <f>'Rail Crash Loading'!C15</f>
        <v>3</v>
      </c>
      <c r="BV17" s="378" t="str">
        <f>'Rail Crash Loading'!D15</f>
        <v># 5</v>
      </c>
      <c r="BW17" s="484">
        <f>'Rail Crash Loading'!E15</f>
        <v>8</v>
      </c>
      <c r="BX17" s="484">
        <f>'Rail Crash Loading'!F15</f>
        <v>7.25</v>
      </c>
      <c r="BY17" s="484">
        <f>'Rail Crash Loading'!G15</f>
        <v>7.5</v>
      </c>
      <c r="BZ17" s="484">
        <f>'Rail Crash Loading'!H15</f>
        <v>7.75</v>
      </c>
      <c r="CA17" s="484">
        <f>'Rail Crash Loading'!I15</f>
        <v>8.25</v>
      </c>
      <c r="CB17" s="485">
        <f>'Rail Crash Loading'!J15</f>
        <v>7.25</v>
      </c>
      <c r="CC17" s="484">
        <f>'Rail Crash Loading'!K15</f>
        <v>6.5</v>
      </c>
      <c r="CD17" s="484">
        <f>'Rail Crash Loading'!L15</f>
        <v>6.5</v>
      </c>
      <c r="CE17" s="484">
        <f>'Rail Crash Loading'!M15</f>
        <v>6.5</v>
      </c>
      <c r="CF17" s="484">
        <f>'Rail Crash Loading'!N15</f>
        <v>6.5</v>
      </c>
      <c r="CG17" s="484">
        <f>'Rail Crash Loading'!O15</f>
        <v>6.5</v>
      </c>
      <c r="CH17" s="485">
        <f>'Rail Crash Loading'!P15</f>
        <v>6.25</v>
      </c>
      <c r="CI17" s="497">
        <f>'Rail Crash Loading'!C34</f>
        <v>3</v>
      </c>
      <c r="CJ17" s="487" t="str">
        <f>'Rail Crash Loading'!D34</f>
        <v># 6</v>
      </c>
      <c r="CK17" s="484">
        <f>'Rail Crash Loading'!E34</f>
        <v>11.25</v>
      </c>
      <c r="CL17" s="484">
        <f>'Rail Crash Loading'!F34</f>
        <v>10.5</v>
      </c>
      <c r="CM17" s="484">
        <f>'Rail Crash Loading'!G34</f>
        <v>10.75</v>
      </c>
      <c r="CN17" s="484">
        <f>'Rail Crash Loading'!H34</f>
        <v>11</v>
      </c>
      <c r="CO17" s="484">
        <f>'Rail Crash Loading'!I34</f>
        <v>11.75</v>
      </c>
      <c r="CP17" s="485">
        <f>'Rail Crash Loading'!J34</f>
        <v>10.25</v>
      </c>
      <c r="CQ17" s="484">
        <f>'Rail Crash Loading'!K34</f>
        <v>9.25</v>
      </c>
      <c r="CR17" s="484">
        <f>'Rail Crash Loading'!L34</f>
        <v>9.25</v>
      </c>
      <c r="CS17" s="484">
        <f>'Rail Crash Loading'!M34</f>
        <v>9.25</v>
      </c>
      <c r="CT17" s="484">
        <f>'Rail Crash Loading'!N34</f>
        <v>9.25</v>
      </c>
      <c r="CU17" s="484">
        <f>'Rail Crash Loading'!O34</f>
        <v>9.25</v>
      </c>
      <c r="CV17" s="485">
        <f>'Rail Crash Loading'!P34</f>
        <v>9</v>
      </c>
    </row>
    <row r="18" spans="2:100" x14ac:dyDescent="0.2">
      <c r="B18" s="72" t="s">
        <v>342</v>
      </c>
      <c r="C18" s="4"/>
      <c r="D18" s="34" t="s">
        <v>364</v>
      </c>
      <c r="E18" s="34" t="s">
        <v>17</v>
      </c>
      <c r="F18" s="34"/>
      <c r="G18" s="47" t="s">
        <v>18</v>
      </c>
      <c r="L18" s="267">
        <f>'English LRFD Working Area'!C18</f>
        <v>6</v>
      </c>
      <c r="M18" s="270">
        <f>'English LRFD Working Area'!P18</f>
        <v>7.5</v>
      </c>
      <c r="N18" s="378" t="str">
        <f>'English LRFD Working Area'!Q18</f>
        <v># 5</v>
      </c>
      <c r="O18" s="247">
        <f>MIN('English LRFD Working Area'!Y18:Z18)</f>
        <v>9.75</v>
      </c>
      <c r="P18" s="378" t="str">
        <f>'English LRFD Working Area'!R18</f>
        <v># 5</v>
      </c>
      <c r="Q18" s="234">
        <f>MIN(VLOOKUP($P18,$U$76:$V$78,2,FALSE),'English LRFD Working Area'!AC18:AD18)</f>
        <v>9</v>
      </c>
      <c r="R18" s="234">
        <f>MIN(VLOOKUP($P18,$U$76:$V$78,2,FALSE),'English LRFD Working Area'!AG18:AH18)</f>
        <v>7</v>
      </c>
      <c r="S18" s="234">
        <f>MIN(VLOOKUP($P18,$U$76:$V$78,2,FALSE),'English LRFD Working Area'!AK18:AL18)</f>
        <v>7.25</v>
      </c>
      <c r="T18" s="234">
        <f>MIN(VLOOKUP($P18,$U$76:$V$78,2,FALSE),'English LRFD Working Area'!AO18:AP18)</f>
        <v>8.25</v>
      </c>
      <c r="U18" s="234">
        <f>MIN(VLOOKUP($P18,$U$76:$V$78,2,FALSE),'English LRFD Working Area'!AS18:AT18)</f>
        <v>10.25</v>
      </c>
      <c r="V18" s="247">
        <f>MIN(VLOOKUP($P18,$U$76:$V$78,2,FALSE),'English LRFD Working Area'!AW18:AX18)</f>
        <v>6.5</v>
      </c>
      <c r="W18" s="246" t="str">
        <f>'English LRFD Working Area'!AY18</f>
        <v># 4</v>
      </c>
      <c r="X18" s="260">
        <f>'English LRFD Working Area'!BA18</f>
        <v>7</v>
      </c>
      <c r="Y18" s="237">
        <f>'English LRFD Working Area'!BB18</f>
        <v>8</v>
      </c>
      <c r="Z18" s="237">
        <f>'English LRFD Working Area'!BC18</f>
        <v>7</v>
      </c>
      <c r="AA18" s="237">
        <f>'English LRFD Working Area'!BD18</f>
        <v>7</v>
      </c>
      <c r="AB18" s="237">
        <f>'English LRFD Working Area'!BE18</f>
        <v>6</v>
      </c>
      <c r="AC18" s="261">
        <f>'English LRFD Working Area'!BF18</f>
        <v>8</v>
      </c>
      <c r="AF18" s="267">
        <f t="shared" si="7"/>
        <v>6</v>
      </c>
      <c r="AG18" s="270">
        <f t="shared" si="8"/>
        <v>7.5</v>
      </c>
      <c r="AH18" s="422">
        <f>'English LRFD Working Area'!BJ18</f>
        <v>4</v>
      </c>
      <c r="AI18" s="416">
        <f>'English LRFD Working Area'!BK18</f>
        <v>7.2142857142857135</v>
      </c>
      <c r="AJ18" s="401">
        <f>'English LRFD Working Area'!BL18</f>
        <v>8.7142857142857135</v>
      </c>
      <c r="AK18" s="401">
        <f>'English LRFD Working Area'!BM18</f>
        <v>8.2857143428571423</v>
      </c>
      <c r="AL18" s="401">
        <f>'English LRFD Working Area'!BN18</f>
        <v>7.7142857142857153</v>
      </c>
      <c r="AM18" s="401">
        <f>'English LRFD Working Area'!BO18</f>
        <v>6.4285714285714288</v>
      </c>
      <c r="AN18" s="417">
        <f>'English LRFD Working Area'!BP18</f>
        <v>9.4285714285714288</v>
      </c>
      <c r="AP18" s="267">
        <f t="shared" si="1"/>
        <v>6</v>
      </c>
      <c r="AQ18" s="470">
        <f>'English LRFD Working Area'!BR18</f>
        <v>0.67</v>
      </c>
      <c r="AR18" s="464">
        <f>'English LRFD Working Area'!BS18</f>
        <v>0.67</v>
      </c>
      <c r="AS18" s="464">
        <f>'English LRFD Working Area'!BT18</f>
        <v>0.67</v>
      </c>
      <c r="AT18" s="464">
        <f>'English LRFD Working Area'!BU18</f>
        <v>0.67</v>
      </c>
      <c r="AU18" s="464">
        <f>'English LRFD Working Area'!BV18</f>
        <v>0.67</v>
      </c>
      <c r="AV18" s="471">
        <f>'English LRFD Working Area'!BW18</f>
        <v>0.67</v>
      </c>
      <c r="AX18" s="290" t="str">
        <f t="shared" si="2"/>
        <v>Steel</v>
      </c>
      <c r="AY18" s="367">
        <f>V6</f>
        <v>11</v>
      </c>
      <c r="AZ18" s="291">
        <f>AC6</f>
        <v>18</v>
      </c>
      <c r="BA18" s="290">
        <f t="shared" si="9"/>
        <v>3</v>
      </c>
      <c r="BB18" s="291">
        <f>AN6</f>
        <v>9</v>
      </c>
      <c r="BC18" s="407">
        <f>'English LRFD Working Area'!CI87</f>
        <v>0.5</v>
      </c>
      <c r="BF18" s="62">
        <f t="shared" si="3"/>
        <v>7.166666666666667</v>
      </c>
      <c r="BG18" s="63">
        <f t="shared" si="3"/>
        <v>7.7083333333333339</v>
      </c>
      <c r="BH18" s="63">
        <f t="shared" si="3"/>
        <v>7.5</v>
      </c>
      <c r="BI18" s="63">
        <f t="shared" si="3"/>
        <v>7.8333333333333339</v>
      </c>
      <c r="BJ18" s="63">
        <f t="shared" si="3"/>
        <v>7.416666666666667</v>
      </c>
      <c r="BK18" s="63">
        <f t="shared" si="3"/>
        <v>6.666666666666667</v>
      </c>
      <c r="BL18" s="64">
        <f t="shared" si="3"/>
        <v>8.1666666666666679</v>
      </c>
      <c r="BM18" s="70">
        <v>6.166666666666667</v>
      </c>
      <c r="BN18" s="8">
        <v>7.75</v>
      </c>
      <c r="BO18" s="6" t="s">
        <v>41</v>
      </c>
      <c r="BP18" s="9">
        <v>8</v>
      </c>
      <c r="BQ18" s="6">
        <v>5</v>
      </c>
      <c r="BR18" s="6">
        <v>2</v>
      </c>
      <c r="BS18" s="7">
        <f t="shared" si="4"/>
        <v>9.25</v>
      </c>
      <c r="BU18" s="497">
        <f>'Rail Crash Loading'!C16</f>
        <v>3.25</v>
      </c>
      <c r="BV18" s="378" t="str">
        <f>'Rail Crash Loading'!D16</f>
        <v># 5</v>
      </c>
      <c r="BW18" s="484">
        <f>'Rail Crash Loading'!E16</f>
        <v>7.75</v>
      </c>
      <c r="BX18" s="484">
        <f>'Rail Crash Loading'!F16</f>
        <v>7</v>
      </c>
      <c r="BY18" s="484">
        <f>'Rail Crash Loading'!G16</f>
        <v>7.25</v>
      </c>
      <c r="BZ18" s="484">
        <f>'Rail Crash Loading'!H16</f>
        <v>7.5</v>
      </c>
      <c r="CA18" s="484">
        <f>'Rail Crash Loading'!I16</f>
        <v>8</v>
      </c>
      <c r="CB18" s="485">
        <f>'Rail Crash Loading'!J16</f>
        <v>7</v>
      </c>
      <c r="CC18" s="484">
        <f>'Rail Crash Loading'!K16</f>
        <v>6.5</v>
      </c>
      <c r="CD18" s="484">
        <f>'Rail Crash Loading'!L16</f>
        <v>6.5</v>
      </c>
      <c r="CE18" s="484">
        <f>'Rail Crash Loading'!M16</f>
        <v>6.5</v>
      </c>
      <c r="CF18" s="484">
        <f>'Rail Crash Loading'!N16</f>
        <v>6.5</v>
      </c>
      <c r="CG18" s="484">
        <f>'Rail Crash Loading'!O16</f>
        <v>6.5</v>
      </c>
      <c r="CH18" s="485">
        <f>'Rail Crash Loading'!P16</f>
        <v>6.5</v>
      </c>
      <c r="CI18" s="497">
        <f>'Rail Crash Loading'!C35</f>
        <v>3.25</v>
      </c>
      <c r="CJ18" s="487" t="str">
        <f>'Rail Crash Loading'!D35</f>
        <v># 6</v>
      </c>
      <c r="CK18" s="484">
        <f>'Rail Crash Loading'!E35</f>
        <v>11</v>
      </c>
      <c r="CL18" s="484">
        <f>'Rail Crash Loading'!F35</f>
        <v>10.25</v>
      </c>
      <c r="CM18" s="484">
        <f>'Rail Crash Loading'!G35</f>
        <v>10.25</v>
      </c>
      <c r="CN18" s="484">
        <f>'Rail Crash Loading'!H35</f>
        <v>10.75</v>
      </c>
      <c r="CO18" s="484">
        <f>'Rail Crash Loading'!I35</f>
        <v>11.5</v>
      </c>
      <c r="CP18" s="485">
        <f>'Rail Crash Loading'!J35</f>
        <v>10</v>
      </c>
      <c r="CQ18" s="484">
        <f>'Rail Crash Loading'!K35</f>
        <v>9.25</v>
      </c>
      <c r="CR18" s="484">
        <f>'Rail Crash Loading'!L35</f>
        <v>9.25</v>
      </c>
      <c r="CS18" s="484">
        <f>'Rail Crash Loading'!M35</f>
        <v>9.25</v>
      </c>
      <c r="CT18" s="484">
        <f>'Rail Crash Loading'!N35</f>
        <v>9.25</v>
      </c>
      <c r="CU18" s="484">
        <f>'Rail Crash Loading'!O35</f>
        <v>9.25</v>
      </c>
      <c r="CV18" s="485">
        <f>'Rail Crash Loading'!P35</f>
        <v>9.25</v>
      </c>
    </row>
    <row r="19" spans="2:100" ht="13.5" thickBot="1" x14ac:dyDescent="0.25">
      <c r="B19" s="35"/>
      <c r="C19" s="36"/>
      <c r="D19" s="302">
        <f>VLOOKUP($D$8+0.2499,$L$10:$AC$54,VLOOKUP($D$7,$AX$10:$AZ$18,3))</f>
        <v>14</v>
      </c>
      <c r="E19" s="302" t="str">
        <f>VLOOKUP($D$8,$L$10:$AB$54,W6)</f>
        <v># 4</v>
      </c>
      <c r="F19" s="11" t="s">
        <v>398</v>
      </c>
      <c r="G19" s="392">
        <f>INT(($D8-VLOOKUP($D$7,AX10:BC18,6,FALSE))/(D19-1)*12*16+0.95)/16</f>
        <v>7.1875</v>
      </c>
      <c r="H19" s="429" t="s">
        <v>408</v>
      </c>
      <c r="L19" s="267">
        <f>'English LRFD Working Area'!C19</f>
        <v>6.25</v>
      </c>
      <c r="M19" s="270">
        <f>'English LRFD Working Area'!P19</f>
        <v>7.5</v>
      </c>
      <c r="N19" s="378" t="str">
        <f>'English LRFD Working Area'!Q19</f>
        <v># 5</v>
      </c>
      <c r="O19" s="247">
        <f>MIN('English LRFD Working Area'!Y19:Z19)</f>
        <v>9.5</v>
      </c>
      <c r="P19" s="378" t="str">
        <f>'English LRFD Working Area'!R19</f>
        <v># 5</v>
      </c>
      <c r="Q19" s="234">
        <f>MIN(VLOOKUP($P19,$U$76:$V$78,2,FALSE),'English LRFD Working Area'!AC19:AD19)</f>
        <v>8.75</v>
      </c>
      <c r="R19" s="234">
        <f>MIN(VLOOKUP($P19,$U$76:$V$78,2,FALSE),'English LRFD Working Area'!AG19:AH19)</f>
        <v>6.75</v>
      </c>
      <c r="S19" s="234">
        <f>MIN(VLOOKUP($P19,$U$76:$V$78,2,FALSE),'English LRFD Working Area'!AK19:AL19)</f>
        <v>7</v>
      </c>
      <c r="T19" s="234">
        <f>MIN(VLOOKUP($P19,$U$76:$V$78,2,FALSE),'English LRFD Working Area'!AO19:AP19)</f>
        <v>8</v>
      </c>
      <c r="U19" s="234">
        <f>MIN(VLOOKUP($P19,$U$76:$V$78,2,FALSE),'English LRFD Working Area'!AS19:AT19)</f>
        <v>10</v>
      </c>
      <c r="V19" s="247">
        <f>MIN(VLOOKUP($P19,$U$76:$V$78,2,FALSE),'English LRFD Working Area'!AW19:AX19)</f>
        <v>6.25</v>
      </c>
      <c r="W19" s="246" t="str">
        <f>'English LRFD Working Area'!AY19</f>
        <v># 4</v>
      </c>
      <c r="X19" s="260">
        <f>'English LRFD Working Area'!BA19</f>
        <v>7</v>
      </c>
      <c r="Y19" s="237">
        <f>'English LRFD Working Area'!BB19</f>
        <v>8</v>
      </c>
      <c r="Z19" s="237">
        <f>'English LRFD Working Area'!BC19</f>
        <v>8</v>
      </c>
      <c r="AA19" s="237">
        <f>'English LRFD Working Area'!BD19</f>
        <v>7</v>
      </c>
      <c r="AB19" s="237">
        <f>'English LRFD Working Area'!BE19</f>
        <v>6</v>
      </c>
      <c r="AC19" s="261">
        <f>'English LRFD Working Area'!BF19</f>
        <v>9</v>
      </c>
      <c r="AF19" s="267">
        <f t="shared" si="7"/>
        <v>6.25</v>
      </c>
      <c r="AG19" s="270">
        <f t="shared" si="8"/>
        <v>7.5</v>
      </c>
      <c r="AH19" s="422">
        <f>'English LRFD Working Area'!BJ19</f>
        <v>4</v>
      </c>
      <c r="AI19" s="416">
        <f>'English LRFD Working Area'!BK19</f>
        <v>7.6428571428571423</v>
      </c>
      <c r="AJ19" s="401">
        <f>'English LRFD Working Area'!BL19</f>
        <v>9.1428571428571423</v>
      </c>
      <c r="AK19" s="401">
        <f>'English LRFD Working Area'!BM19</f>
        <v>8.7142857714285711</v>
      </c>
      <c r="AL19" s="401">
        <f>'English LRFD Working Area'!BN19</f>
        <v>8.1428571428571423</v>
      </c>
      <c r="AM19" s="401">
        <f>'English LRFD Working Area'!BO19</f>
        <v>6.8571428571428568</v>
      </c>
      <c r="AN19" s="417">
        <f>'English LRFD Working Area'!BP19</f>
        <v>9.8571428571428577</v>
      </c>
      <c r="AP19" s="267">
        <f t="shared" si="1"/>
        <v>6.25</v>
      </c>
      <c r="AQ19" s="470">
        <f>'English LRFD Working Area'!BR19</f>
        <v>0.67</v>
      </c>
      <c r="AR19" s="464">
        <f>'English LRFD Working Area'!BS19</f>
        <v>0.67</v>
      </c>
      <c r="AS19" s="464">
        <f>'English LRFD Working Area'!BT19</f>
        <v>0.67</v>
      </c>
      <c r="AT19" s="464">
        <f>'English LRFD Working Area'!BU19</f>
        <v>0.67</v>
      </c>
      <c r="AU19" s="464">
        <f>'English LRFD Working Area'!BV19</f>
        <v>0.67</v>
      </c>
      <c r="AV19" s="471">
        <f>'English LRFD Working Area'!BW19</f>
        <v>0.67</v>
      </c>
      <c r="BF19" s="62">
        <f t="shared" si="3"/>
        <v>7.333333333333333</v>
      </c>
      <c r="BG19" s="63">
        <f t="shared" si="3"/>
        <v>7.875</v>
      </c>
      <c r="BH19" s="63">
        <f t="shared" si="3"/>
        <v>7.6666666666666661</v>
      </c>
      <c r="BI19" s="63">
        <f t="shared" si="3"/>
        <v>8</v>
      </c>
      <c r="BJ19" s="63">
        <f t="shared" si="3"/>
        <v>7.583333333333333</v>
      </c>
      <c r="BK19" s="63">
        <f t="shared" si="3"/>
        <v>6.833333333333333</v>
      </c>
      <c r="BL19" s="64">
        <f t="shared" si="3"/>
        <v>8.3333333333333321</v>
      </c>
      <c r="BM19" s="70">
        <v>6.333333333333333</v>
      </c>
      <c r="BN19" s="8">
        <v>7.75</v>
      </c>
      <c r="BO19" s="6" t="s">
        <v>41</v>
      </c>
      <c r="BP19" s="9">
        <v>7.75</v>
      </c>
      <c r="BQ19" s="6">
        <v>6</v>
      </c>
      <c r="BR19" s="6">
        <v>2</v>
      </c>
      <c r="BS19" s="7">
        <f t="shared" si="4"/>
        <v>9.25</v>
      </c>
      <c r="BU19" s="497">
        <f>'Rail Crash Loading'!C17</f>
        <v>3.5</v>
      </c>
      <c r="BV19" s="378" t="str">
        <f>'Rail Crash Loading'!D17</f>
        <v># 5</v>
      </c>
      <c r="BW19" s="484">
        <f>'Rail Crash Loading'!E17</f>
        <v>7.5</v>
      </c>
      <c r="BX19" s="484">
        <f>'Rail Crash Loading'!F17</f>
        <v>6.75</v>
      </c>
      <c r="BY19" s="484">
        <f>'Rail Crash Loading'!G17</f>
        <v>7</v>
      </c>
      <c r="BZ19" s="484">
        <f>'Rail Crash Loading'!H17</f>
        <v>7.25</v>
      </c>
      <c r="CA19" s="484">
        <f>'Rail Crash Loading'!I17</f>
        <v>7.75</v>
      </c>
      <c r="CB19" s="485">
        <f>'Rail Crash Loading'!J17</f>
        <v>6.75</v>
      </c>
      <c r="CC19" s="484">
        <f>'Rail Crash Loading'!K17</f>
        <v>6.5</v>
      </c>
      <c r="CD19" s="484">
        <f>'Rail Crash Loading'!L17</f>
        <v>6.5</v>
      </c>
      <c r="CE19" s="484">
        <f>'Rail Crash Loading'!M17</f>
        <v>6.5</v>
      </c>
      <c r="CF19" s="484">
        <f>'Rail Crash Loading'!N17</f>
        <v>6.5</v>
      </c>
      <c r="CG19" s="484">
        <f>'Rail Crash Loading'!O17</f>
        <v>6.5</v>
      </c>
      <c r="CH19" s="485">
        <f>'Rail Crash Loading'!P17</f>
        <v>6.5</v>
      </c>
      <c r="CI19" s="497">
        <f>'Rail Crash Loading'!C36</f>
        <v>3.5</v>
      </c>
      <c r="CJ19" s="487" t="str">
        <f>'Rail Crash Loading'!D36</f>
        <v># 6</v>
      </c>
      <c r="CK19" s="484">
        <f>'Rail Crash Loading'!E36</f>
        <v>10.5</v>
      </c>
      <c r="CL19" s="484">
        <f>'Rail Crash Loading'!F36</f>
        <v>9.75</v>
      </c>
      <c r="CM19" s="484">
        <f>'Rail Crash Loading'!G36</f>
        <v>10</v>
      </c>
      <c r="CN19" s="484">
        <f>'Rail Crash Loading'!H36</f>
        <v>10.25</v>
      </c>
      <c r="CO19" s="484">
        <f>'Rail Crash Loading'!I36</f>
        <v>11</v>
      </c>
      <c r="CP19" s="485">
        <f>'Rail Crash Loading'!J36</f>
        <v>9.75</v>
      </c>
      <c r="CQ19" s="484">
        <f>'Rail Crash Loading'!K36</f>
        <v>9.25</v>
      </c>
      <c r="CR19" s="484">
        <f>'Rail Crash Loading'!L36</f>
        <v>9.25</v>
      </c>
      <c r="CS19" s="484">
        <f>'Rail Crash Loading'!M36</f>
        <v>9.25</v>
      </c>
      <c r="CT19" s="484">
        <f>'Rail Crash Loading'!N36</f>
        <v>9.25</v>
      </c>
      <c r="CU19" s="484">
        <f>'Rail Crash Loading'!O36</f>
        <v>9.25</v>
      </c>
      <c r="CV19" s="485">
        <f>'Rail Crash Loading'!P36</f>
        <v>9.25</v>
      </c>
    </row>
    <row r="20" spans="2:100" ht="13.5" thickBot="1" x14ac:dyDescent="0.25">
      <c r="I20" s="427">
        <f>VLOOKUP($D$8+0.2499,$AF$10:$AN$54,VLOOKUP($D$7,$AX$10:$BB$18,5))</f>
        <v>12</v>
      </c>
      <c r="L20" s="267">
        <f>'English LRFD Working Area'!C20</f>
        <v>6.5</v>
      </c>
      <c r="M20" s="270">
        <f>'English LRFD Working Area'!P20</f>
        <v>7.5</v>
      </c>
      <c r="N20" s="378" t="str">
        <f>'English LRFD Working Area'!Q20</f>
        <v># 5</v>
      </c>
      <c r="O20" s="247">
        <f>MIN('English LRFD Working Area'!Y20:Z20)</f>
        <v>9.5</v>
      </c>
      <c r="P20" s="378" t="str">
        <f>'English LRFD Working Area'!R20</f>
        <v># 5</v>
      </c>
      <c r="Q20" s="234">
        <f>MIN(VLOOKUP($P20,$U$76:$V$78,2,FALSE),'English LRFD Working Area'!AC20:AD20)</f>
        <v>8.5</v>
      </c>
      <c r="R20" s="234">
        <f>MIN(VLOOKUP($P20,$U$76:$V$78,2,FALSE),'English LRFD Working Area'!AG20:AH20)</f>
        <v>6.5</v>
      </c>
      <c r="S20" s="234">
        <f>MIN(VLOOKUP($P20,$U$76:$V$78,2,FALSE),'English LRFD Working Area'!AK20:AL20)</f>
        <v>7</v>
      </c>
      <c r="T20" s="234">
        <f>MIN(VLOOKUP($P20,$U$76:$V$78,2,FALSE),'English LRFD Working Area'!AO20:AP20)</f>
        <v>7.75</v>
      </c>
      <c r="U20" s="234">
        <f>MIN(VLOOKUP($P20,$U$76:$V$78,2,FALSE),'English LRFD Working Area'!AS20:AT20)</f>
        <v>9.5</v>
      </c>
      <c r="V20" s="247">
        <f>MIN(VLOOKUP($P20,$U$76:$V$78,2,FALSE),'English LRFD Working Area'!AW20:AX20)</f>
        <v>6</v>
      </c>
      <c r="W20" s="246" t="str">
        <f>'English LRFD Working Area'!AY20</f>
        <v># 4</v>
      </c>
      <c r="X20" s="260">
        <f>'English LRFD Working Area'!BA20</f>
        <v>8</v>
      </c>
      <c r="Y20" s="237">
        <f>'English LRFD Working Area'!BB20</f>
        <v>9</v>
      </c>
      <c r="Z20" s="237">
        <f>'English LRFD Working Area'!BC20</f>
        <v>8</v>
      </c>
      <c r="AA20" s="237">
        <f>'English LRFD Working Area'!BD20</f>
        <v>8</v>
      </c>
      <c r="AB20" s="237">
        <f>'English LRFD Working Area'!BE20</f>
        <v>7</v>
      </c>
      <c r="AC20" s="261">
        <f>'English LRFD Working Area'!BF20</f>
        <v>9</v>
      </c>
      <c r="AF20" s="267">
        <f t="shared" si="7"/>
        <v>6.5</v>
      </c>
      <c r="AG20" s="270">
        <f t="shared" si="8"/>
        <v>7.5</v>
      </c>
      <c r="AH20" s="422">
        <f>'English LRFD Working Area'!BJ20</f>
        <v>4</v>
      </c>
      <c r="AI20" s="416">
        <f>'English LRFD Working Area'!BK20</f>
        <v>8.0714285714285712</v>
      </c>
      <c r="AJ20" s="401">
        <f>'English LRFD Working Area'!BL20</f>
        <v>9.5714285714285712</v>
      </c>
      <c r="AK20" s="401">
        <f>'English LRFD Working Area'!BM20</f>
        <v>9.1428571999999999</v>
      </c>
      <c r="AL20" s="401">
        <f>'English LRFD Working Area'!BN20</f>
        <v>8.5714285714285712</v>
      </c>
      <c r="AM20" s="401">
        <f>'English LRFD Working Area'!BO20</f>
        <v>7.2857142857142847</v>
      </c>
      <c r="AN20" s="417">
        <f>'English LRFD Working Area'!BP20</f>
        <v>10.285714285714285</v>
      </c>
      <c r="AP20" s="267">
        <f t="shared" si="1"/>
        <v>6.5</v>
      </c>
      <c r="AQ20" s="470">
        <f>'English LRFD Working Area'!BR20</f>
        <v>0.67</v>
      </c>
      <c r="AR20" s="464">
        <f>'English LRFD Working Area'!BS20</f>
        <v>0.67</v>
      </c>
      <c r="AS20" s="464">
        <f>'English LRFD Working Area'!BT20</f>
        <v>0.67</v>
      </c>
      <c r="AT20" s="464">
        <f>'English LRFD Working Area'!BU20</f>
        <v>0.67</v>
      </c>
      <c r="AU20" s="464">
        <f>'English LRFD Working Area'!BV20</f>
        <v>0.67</v>
      </c>
      <c r="AV20" s="471">
        <f>'English LRFD Working Area'!BW20</f>
        <v>0.67</v>
      </c>
      <c r="BF20" s="62">
        <f t="shared" ref="BF20:BL30" si="11">$BM20+BF$8</f>
        <v>7.583333333333333</v>
      </c>
      <c r="BG20" s="63">
        <f t="shared" si="11"/>
        <v>8.125</v>
      </c>
      <c r="BH20" s="63">
        <f t="shared" si="11"/>
        <v>7.9166666666666661</v>
      </c>
      <c r="BI20" s="63">
        <f t="shared" si="11"/>
        <v>8.25</v>
      </c>
      <c r="BJ20" s="63">
        <f t="shared" si="11"/>
        <v>7.833333333333333</v>
      </c>
      <c r="BK20" s="63">
        <f t="shared" si="11"/>
        <v>7.083333333333333</v>
      </c>
      <c r="BL20" s="64">
        <f t="shared" si="11"/>
        <v>8.5833333333333321</v>
      </c>
      <c r="BM20" s="70">
        <v>6.583333333333333</v>
      </c>
      <c r="BN20" s="8">
        <v>7.75</v>
      </c>
      <c r="BO20" s="6" t="s">
        <v>41</v>
      </c>
      <c r="BP20" s="9">
        <v>7.5</v>
      </c>
      <c r="BQ20" s="6">
        <v>6</v>
      </c>
      <c r="BR20" s="6">
        <v>2</v>
      </c>
      <c r="BS20" s="7">
        <f t="shared" si="4"/>
        <v>9.25</v>
      </c>
      <c r="BU20" s="497">
        <f>'Rail Crash Loading'!C18</f>
        <v>3.75</v>
      </c>
      <c r="BV20" s="378" t="str">
        <f>'Rail Crash Loading'!D18</f>
        <v># 5</v>
      </c>
      <c r="BW20" s="484">
        <f>'Rail Crash Loading'!E18</f>
        <v>7.25</v>
      </c>
      <c r="BX20" s="484">
        <f>'Rail Crash Loading'!F18</f>
        <v>6.75</v>
      </c>
      <c r="BY20" s="484">
        <f>'Rail Crash Loading'!G18</f>
        <v>6.75</v>
      </c>
      <c r="BZ20" s="484">
        <f>'Rail Crash Loading'!H18</f>
        <v>7</v>
      </c>
      <c r="CA20" s="484">
        <f>'Rail Crash Loading'!I18</f>
        <v>7.5</v>
      </c>
      <c r="CB20" s="485">
        <f>'Rail Crash Loading'!J18</f>
        <v>6.5</v>
      </c>
      <c r="CC20" s="484">
        <f>'Rail Crash Loading'!K18</f>
        <v>6.5</v>
      </c>
      <c r="CD20" s="484">
        <f>'Rail Crash Loading'!L18</f>
        <v>6.5</v>
      </c>
      <c r="CE20" s="484">
        <f>'Rail Crash Loading'!M18</f>
        <v>6.5</v>
      </c>
      <c r="CF20" s="484">
        <f>'Rail Crash Loading'!N18</f>
        <v>6.5</v>
      </c>
      <c r="CG20" s="484">
        <f>'Rail Crash Loading'!O18</f>
        <v>6.5</v>
      </c>
      <c r="CH20" s="485">
        <f>'Rail Crash Loading'!P18</f>
        <v>6.5</v>
      </c>
      <c r="CI20" s="497">
        <f>'Rail Crash Loading'!C37</f>
        <v>3.75</v>
      </c>
      <c r="CJ20" s="487" t="str">
        <f>'Rail Crash Loading'!D37</f>
        <v># 6</v>
      </c>
      <c r="CK20" s="484">
        <f>'Rail Crash Loading'!E37</f>
        <v>10.25</v>
      </c>
      <c r="CL20" s="484">
        <f>'Rail Crash Loading'!F37</f>
        <v>9.5</v>
      </c>
      <c r="CM20" s="484">
        <f>'Rail Crash Loading'!G37</f>
        <v>9.5</v>
      </c>
      <c r="CN20" s="484">
        <f>'Rail Crash Loading'!H37</f>
        <v>10</v>
      </c>
      <c r="CO20" s="484">
        <f>'Rail Crash Loading'!I37</f>
        <v>10.75</v>
      </c>
      <c r="CP20" s="485">
        <f>'Rail Crash Loading'!J37</f>
        <v>9.25</v>
      </c>
      <c r="CQ20" s="484">
        <f>'Rail Crash Loading'!K37</f>
        <v>9.25</v>
      </c>
      <c r="CR20" s="484">
        <f>'Rail Crash Loading'!L37</f>
        <v>9.25</v>
      </c>
      <c r="CS20" s="484">
        <f>'Rail Crash Loading'!M37</f>
        <v>9.25</v>
      </c>
      <c r="CT20" s="484">
        <f>'Rail Crash Loading'!N37</f>
        <v>9.25</v>
      </c>
      <c r="CU20" s="484">
        <f>'Rail Crash Loading'!O37</f>
        <v>9.25</v>
      </c>
      <c r="CV20" s="485">
        <f>'Rail Crash Loading'!P37</f>
        <v>9.25</v>
      </c>
    </row>
    <row r="21" spans="2:100" ht="13.5" thickBot="1" x14ac:dyDescent="0.25">
      <c r="B21" s="98" t="s">
        <v>119</v>
      </c>
      <c r="C21" s="76"/>
      <c r="D21" s="40"/>
      <c r="E21" s="4" t="s">
        <v>83</v>
      </c>
      <c r="F21" s="4"/>
      <c r="G21" s="5" t="s">
        <v>85</v>
      </c>
      <c r="I21" t="s">
        <v>409</v>
      </c>
      <c r="L21" s="267">
        <f>'English LRFD Working Area'!C21</f>
        <v>6.75</v>
      </c>
      <c r="M21" s="270">
        <f>'English LRFD Working Area'!P21</f>
        <v>7.5</v>
      </c>
      <c r="N21" s="378" t="str">
        <f>'English LRFD Working Area'!Q21</f>
        <v># 5</v>
      </c>
      <c r="O21" s="247">
        <f>MIN('English LRFD Working Area'!Y21:Z21)</f>
        <v>9.25</v>
      </c>
      <c r="P21" s="378" t="str">
        <f>'English LRFD Working Area'!R21</f>
        <v># 5</v>
      </c>
      <c r="Q21" s="234">
        <f>MIN(VLOOKUP($P21,$U$76:$V$78,2,FALSE),'English LRFD Working Area'!AC21:AD21)</f>
        <v>8.25</v>
      </c>
      <c r="R21" s="234">
        <f>MIN(VLOOKUP($P21,$U$76:$V$78,2,FALSE),'English LRFD Working Area'!AG21:AH21)</f>
        <v>6.25</v>
      </c>
      <c r="S21" s="234">
        <f>MIN(VLOOKUP($P21,$U$76:$V$78,2,FALSE),'English LRFD Working Area'!AK21:AL21)</f>
        <v>6.75</v>
      </c>
      <c r="T21" s="234">
        <f>MIN(VLOOKUP($P21,$U$76:$V$78,2,FALSE),'English LRFD Working Area'!AO21:AP21)</f>
        <v>7.5</v>
      </c>
      <c r="U21" s="234">
        <f>MIN(VLOOKUP($P21,$U$76:$V$78,2,FALSE),'English LRFD Working Area'!AS21:AT21)</f>
        <v>9.25</v>
      </c>
      <c r="V21" s="247">
        <f>MIN(VLOOKUP($P21,$U$76:$V$78,2,FALSE),'English LRFD Working Area'!AW21:AX21)</f>
        <v>5.75</v>
      </c>
      <c r="W21" s="246" t="str">
        <f>'English LRFD Working Area'!AY21</f>
        <v># 4</v>
      </c>
      <c r="X21" s="260">
        <f>'English LRFD Working Area'!BA21</f>
        <v>8</v>
      </c>
      <c r="Y21" s="237">
        <f>'English LRFD Working Area'!BB21</f>
        <v>9</v>
      </c>
      <c r="Z21" s="237">
        <f>'English LRFD Working Area'!BC21</f>
        <v>9</v>
      </c>
      <c r="AA21" s="237">
        <f>'English LRFD Working Area'!BD21</f>
        <v>8</v>
      </c>
      <c r="AB21" s="237">
        <f>'English LRFD Working Area'!BE21</f>
        <v>7</v>
      </c>
      <c r="AC21" s="261">
        <f>'English LRFD Working Area'!BF21</f>
        <v>10</v>
      </c>
      <c r="AF21" s="267">
        <f t="shared" si="7"/>
        <v>6.75</v>
      </c>
      <c r="AG21" s="270">
        <f t="shared" si="8"/>
        <v>7.5</v>
      </c>
      <c r="AH21" s="422">
        <f>'English LRFD Working Area'!BJ21</f>
        <v>4</v>
      </c>
      <c r="AI21" s="416">
        <f>'English LRFD Working Area'!BK21</f>
        <v>8.5</v>
      </c>
      <c r="AJ21" s="401">
        <f>'English LRFD Working Area'!BL21</f>
        <v>10</v>
      </c>
      <c r="AK21" s="401">
        <f>'English LRFD Working Area'!BM21</f>
        <v>9.5714286285714287</v>
      </c>
      <c r="AL21" s="401">
        <f>'English LRFD Working Area'!BN21</f>
        <v>9</v>
      </c>
      <c r="AM21" s="401">
        <f>'English LRFD Working Area'!BO21</f>
        <v>7.7142857142857153</v>
      </c>
      <c r="AN21" s="417">
        <f>'English LRFD Working Area'!BP21</f>
        <v>10.714285714285715</v>
      </c>
      <c r="AP21" s="267">
        <f t="shared" si="1"/>
        <v>6.75</v>
      </c>
      <c r="AQ21" s="470">
        <f>'English LRFD Working Area'!BR21</f>
        <v>0.67</v>
      </c>
      <c r="AR21" s="464">
        <f>'English LRFD Working Area'!BS21</f>
        <v>0.67</v>
      </c>
      <c r="AS21" s="464">
        <f>'English LRFD Working Area'!BT21</f>
        <v>0.67</v>
      </c>
      <c r="AT21" s="464">
        <f>'English LRFD Working Area'!BU21</f>
        <v>0.67</v>
      </c>
      <c r="AU21" s="464">
        <f>'English LRFD Working Area'!BV21</f>
        <v>0.67</v>
      </c>
      <c r="AV21" s="471">
        <f>'English LRFD Working Area'!BW21</f>
        <v>0.67</v>
      </c>
      <c r="BF21" s="62">
        <f t="shared" si="11"/>
        <v>7.833333333333333</v>
      </c>
      <c r="BG21" s="63">
        <f t="shared" si="11"/>
        <v>8.375</v>
      </c>
      <c r="BH21" s="63">
        <f t="shared" si="11"/>
        <v>8.1666666666666661</v>
      </c>
      <c r="BI21" s="63">
        <f t="shared" si="11"/>
        <v>8.5</v>
      </c>
      <c r="BJ21" s="63">
        <f t="shared" si="11"/>
        <v>8.0833333333333321</v>
      </c>
      <c r="BK21" s="63">
        <f t="shared" si="11"/>
        <v>7.333333333333333</v>
      </c>
      <c r="BL21" s="64">
        <f t="shared" si="11"/>
        <v>8.8333333333333321</v>
      </c>
      <c r="BM21" s="70">
        <v>6.833333333333333</v>
      </c>
      <c r="BN21" s="8">
        <v>7.75</v>
      </c>
      <c r="BO21" s="6" t="s">
        <v>41</v>
      </c>
      <c r="BP21" s="9">
        <v>7.25</v>
      </c>
      <c r="BQ21" s="6">
        <v>6</v>
      </c>
      <c r="BR21" s="6">
        <v>2</v>
      </c>
      <c r="BS21" s="7">
        <f t="shared" si="4"/>
        <v>9.25</v>
      </c>
      <c r="BU21" s="497">
        <f>'Rail Crash Loading'!C19</f>
        <v>4</v>
      </c>
      <c r="BV21" s="378" t="str">
        <f>'Rail Crash Loading'!D19</f>
        <v># 5</v>
      </c>
      <c r="BW21" s="484">
        <f>'Rail Crash Loading'!E19</f>
        <v>7</v>
      </c>
      <c r="BX21" s="484">
        <f>'Rail Crash Loading'!F19</f>
        <v>6.5</v>
      </c>
      <c r="BY21" s="484">
        <f>'Rail Crash Loading'!G19</f>
        <v>6.5</v>
      </c>
      <c r="BZ21" s="484">
        <f>'Rail Crash Loading'!H19</f>
        <v>6.75</v>
      </c>
      <c r="CA21" s="484">
        <f>'Rail Crash Loading'!I19</f>
        <v>7.25</v>
      </c>
      <c r="CB21" s="485">
        <f>'Rail Crash Loading'!J19</f>
        <v>6.25</v>
      </c>
      <c r="CC21" s="484">
        <f>'Rail Crash Loading'!K19</f>
        <v>6.5</v>
      </c>
      <c r="CD21" s="484">
        <f>'Rail Crash Loading'!L19</f>
        <v>6.25</v>
      </c>
      <c r="CE21" s="484">
        <f>'Rail Crash Loading'!M19</f>
        <v>6.5</v>
      </c>
      <c r="CF21" s="484">
        <f>'Rail Crash Loading'!N19</f>
        <v>6.5</v>
      </c>
      <c r="CG21" s="484">
        <f>'Rail Crash Loading'!O19</f>
        <v>6.5</v>
      </c>
      <c r="CH21" s="485">
        <f>'Rail Crash Loading'!P19</f>
        <v>6.25</v>
      </c>
      <c r="CI21" s="497">
        <f>'Rail Crash Loading'!C38</f>
        <v>4</v>
      </c>
      <c r="CJ21" s="487" t="str">
        <f>'Rail Crash Loading'!D38</f>
        <v># 6</v>
      </c>
      <c r="CK21" s="484">
        <f>'Rail Crash Loading'!E38</f>
        <v>10</v>
      </c>
      <c r="CL21" s="484">
        <f>'Rail Crash Loading'!F38</f>
        <v>9.25</v>
      </c>
      <c r="CM21" s="484">
        <f>'Rail Crash Loading'!G38</f>
        <v>9.25</v>
      </c>
      <c r="CN21" s="484">
        <f>'Rail Crash Loading'!H38</f>
        <v>9.75</v>
      </c>
      <c r="CO21" s="484">
        <f>'Rail Crash Loading'!I38</f>
        <v>10.25</v>
      </c>
      <c r="CP21" s="485">
        <f>'Rail Crash Loading'!J38</f>
        <v>9</v>
      </c>
      <c r="CQ21" s="484">
        <f>'Rail Crash Loading'!K38</f>
        <v>9.25</v>
      </c>
      <c r="CR21" s="484">
        <f>'Rail Crash Loading'!L38</f>
        <v>9</v>
      </c>
      <c r="CS21" s="484">
        <f>'Rail Crash Loading'!M38</f>
        <v>9.25</v>
      </c>
      <c r="CT21" s="484">
        <f>'Rail Crash Loading'!N38</f>
        <v>9.25</v>
      </c>
      <c r="CU21" s="484">
        <f>'Rail Crash Loading'!O38</f>
        <v>9.25</v>
      </c>
      <c r="CV21" s="485">
        <f>'Rail Crash Loading'!P38</f>
        <v>9</v>
      </c>
    </row>
    <row r="22" spans="2:100" x14ac:dyDescent="0.2">
      <c r="B22" s="37"/>
      <c r="C22" s="38" t="s">
        <v>82</v>
      </c>
      <c r="D22" s="38" t="s">
        <v>63</v>
      </c>
      <c r="E22" s="53">
        <f>'Deck Design Worksheet'!E38</f>
        <v>3</v>
      </c>
      <c r="F22" s="38" t="s">
        <v>84</v>
      </c>
      <c r="G22" s="95">
        <f>'Deck Design Worksheet'!E39</f>
        <v>450</v>
      </c>
      <c r="L22" s="267">
        <f>'English LRFD Working Area'!C22</f>
        <v>7</v>
      </c>
      <c r="M22" s="270">
        <f>'English LRFD Working Area'!P22</f>
        <v>7.5</v>
      </c>
      <c r="N22" s="378" t="str">
        <f>'English LRFD Working Area'!Q22</f>
        <v># 5</v>
      </c>
      <c r="O22" s="247">
        <f>MIN('English LRFD Working Area'!Y22:Z22)</f>
        <v>9</v>
      </c>
      <c r="P22" s="378" t="str">
        <f>'English LRFD Working Area'!R22</f>
        <v># 5</v>
      </c>
      <c r="Q22" s="234">
        <f>MIN(VLOOKUP($P22,$U$76:$V$78,2,FALSE),'English LRFD Working Area'!AC22:AD22)</f>
        <v>7.75</v>
      </c>
      <c r="R22" s="234">
        <f>MIN(VLOOKUP($P22,$U$76:$V$78,2,FALSE),'English LRFD Working Area'!AG22:AH22)</f>
        <v>6</v>
      </c>
      <c r="S22" s="234">
        <f>MIN(VLOOKUP($P22,$U$76:$V$78,2,FALSE),'English LRFD Working Area'!AK22:AL22)</f>
        <v>6.25</v>
      </c>
      <c r="T22" s="234">
        <f>MIN(VLOOKUP($P22,$U$76:$V$78,2,FALSE),'English LRFD Working Area'!AO22:AP22)</f>
        <v>7.25</v>
      </c>
      <c r="U22" s="234">
        <f>MIN(VLOOKUP($P22,$U$76:$V$78,2,FALSE),'English LRFD Working Area'!AS22:AT22)</f>
        <v>9</v>
      </c>
      <c r="V22" s="247">
        <f>MIN(VLOOKUP($P22,$U$76:$V$78,2,FALSE),'English LRFD Working Area'!AW22:AX22)</f>
        <v>5.5</v>
      </c>
      <c r="W22" s="246" t="str">
        <f>'English LRFD Working Area'!AY22</f>
        <v># 4</v>
      </c>
      <c r="X22" s="260">
        <f>'English LRFD Working Area'!BA22</f>
        <v>9</v>
      </c>
      <c r="Y22" s="237">
        <f>'English LRFD Working Area'!BB22</f>
        <v>10</v>
      </c>
      <c r="Z22" s="237">
        <f>'English LRFD Working Area'!BC22</f>
        <v>9</v>
      </c>
      <c r="AA22" s="237">
        <f>'English LRFD Working Area'!BD22</f>
        <v>9</v>
      </c>
      <c r="AB22" s="237">
        <f>'English LRFD Working Area'!BE22</f>
        <v>8</v>
      </c>
      <c r="AC22" s="261">
        <f>'English LRFD Working Area'!BF22</f>
        <v>10</v>
      </c>
      <c r="AF22" s="267">
        <f t="shared" si="7"/>
        <v>7</v>
      </c>
      <c r="AG22" s="270">
        <f t="shared" si="8"/>
        <v>7.5</v>
      </c>
      <c r="AH22" s="422">
        <f>'English LRFD Working Area'!BJ22</f>
        <v>4</v>
      </c>
      <c r="AI22" s="416">
        <f>'English LRFD Working Area'!BK22</f>
        <v>8.928571428571427</v>
      </c>
      <c r="AJ22" s="401">
        <f>'English LRFD Working Area'!BL22</f>
        <v>10.428571428571427</v>
      </c>
      <c r="AK22" s="401">
        <f>'English LRFD Working Area'!BM22</f>
        <v>10.000000057142856</v>
      </c>
      <c r="AL22" s="401">
        <f>'English LRFD Working Area'!BN22</f>
        <v>9.4285714285714288</v>
      </c>
      <c r="AM22" s="401">
        <f>'English LRFD Working Area'!BO22</f>
        <v>8.1428571428571423</v>
      </c>
      <c r="AN22" s="417">
        <f>'English LRFD Working Area'!BP22</f>
        <v>11.142857142857142</v>
      </c>
      <c r="AP22" s="267">
        <f t="shared" si="1"/>
        <v>7</v>
      </c>
      <c r="AQ22" s="470">
        <f>'English LRFD Working Area'!BR22</f>
        <v>0.67</v>
      </c>
      <c r="AR22" s="464">
        <f>'English LRFD Working Area'!BS22</f>
        <v>0.67</v>
      </c>
      <c r="AS22" s="464">
        <f>'English LRFD Working Area'!BT22</f>
        <v>0.67</v>
      </c>
      <c r="AT22" s="464">
        <f>'English LRFD Working Area'!BU22</f>
        <v>0.67</v>
      </c>
      <c r="AU22" s="464">
        <f>'English LRFD Working Area'!BV22</f>
        <v>0.67</v>
      </c>
      <c r="AV22" s="471">
        <f>'English LRFD Working Area'!BW22</f>
        <v>0.67</v>
      </c>
      <c r="BF22" s="62">
        <f t="shared" si="11"/>
        <v>8.0833333333333321</v>
      </c>
      <c r="BG22" s="63">
        <f t="shared" si="11"/>
        <v>8.625</v>
      </c>
      <c r="BH22" s="63">
        <f t="shared" si="11"/>
        <v>8.4166666666666661</v>
      </c>
      <c r="BI22" s="63">
        <f t="shared" si="11"/>
        <v>8.75</v>
      </c>
      <c r="BJ22" s="63">
        <f t="shared" si="11"/>
        <v>8.3333333333333321</v>
      </c>
      <c r="BK22" s="63">
        <f t="shared" si="11"/>
        <v>7.583333333333333</v>
      </c>
      <c r="BL22" s="64">
        <f t="shared" si="11"/>
        <v>9.0833333333333321</v>
      </c>
      <c r="BM22" s="70">
        <v>7.083333333333333</v>
      </c>
      <c r="BN22" s="8">
        <v>7.75</v>
      </c>
      <c r="BO22" s="6" t="s">
        <v>41</v>
      </c>
      <c r="BP22" s="9">
        <v>7</v>
      </c>
      <c r="BQ22" s="6">
        <v>7</v>
      </c>
      <c r="BR22" s="6">
        <v>2</v>
      </c>
      <c r="BS22" s="7">
        <f t="shared" si="4"/>
        <v>9.25</v>
      </c>
      <c r="BU22" s="497">
        <f>'Rail Crash Loading'!C20</f>
        <v>4.25</v>
      </c>
      <c r="BV22" s="378" t="str">
        <f>'Rail Crash Loading'!D20</f>
        <v># 5</v>
      </c>
      <c r="BW22" s="484">
        <f>'Rail Crash Loading'!E20</f>
        <v>6.75</v>
      </c>
      <c r="BX22" s="484">
        <f>'Rail Crash Loading'!F20</f>
        <v>6.25</v>
      </c>
      <c r="BY22" s="484">
        <f>'Rail Crash Loading'!G20</f>
        <v>6.25</v>
      </c>
      <c r="BZ22" s="484">
        <f>'Rail Crash Loading'!H20</f>
        <v>6.5</v>
      </c>
      <c r="CA22" s="484">
        <f>'Rail Crash Loading'!I20</f>
        <v>7</v>
      </c>
      <c r="CB22" s="485">
        <f>'Rail Crash Loading'!J20</f>
        <v>6.25</v>
      </c>
      <c r="CC22" s="484">
        <f>'Rail Crash Loading'!K20</f>
        <v>6.5</v>
      </c>
      <c r="CD22" s="484">
        <f>'Rail Crash Loading'!L20</f>
        <v>6.25</v>
      </c>
      <c r="CE22" s="484">
        <f>'Rail Crash Loading'!M20</f>
        <v>6.25</v>
      </c>
      <c r="CF22" s="484">
        <f>'Rail Crash Loading'!N20</f>
        <v>6.5</v>
      </c>
      <c r="CG22" s="484">
        <f>'Rail Crash Loading'!O20</f>
        <v>6.5</v>
      </c>
      <c r="CH22" s="485">
        <f>'Rail Crash Loading'!P20</f>
        <v>6</v>
      </c>
      <c r="CI22" s="497">
        <f>'Rail Crash Loading'!C39</f>
        <v>4.25</v>
      </c>
      <c r="CJ22" s="487" t="str">
        <f>'Rail Crash Loading'!D39</f>
        <v># 6</v>
      </c>
      <c r="CK22" s="484">
        <f>'Rail Crash Loading'!E39</f>
        <v>9.5</v>
      </c>
      <c r="CL22" s="484">
        <f>'Rail Crash Loading'!F39</f>
        <v>8.75</v>
      </c>
      <c r="CM22" s="484">
        <f>'Rail Crash Loading'!G39</f>
        <v>9</v>
      </c>
      <c r="CN22" s="484">
        <f>'Rail Crash Loading'!H39</f>
        <v>9.25</v>
      </c>
      <c r="CO22" s="484">
        <f>'Rail Crash Loading'!I39</f>
        <v>10</v>
      </c>
      <c r="CP22" s="485">
        <f>'Rail Crash Loading'!J39</f>
        <v>8.75</v>
      </c>
      <c r="CQ22" s="484">
        <f>'Rail Crash Loading'!K39</f>
        <v>9.25</v>
      </c>
      <c r="CR22" s="484">
        <f>'Rail Crash Loading'!L39</f>
        <v>8.75</v>
      </c>
      <c r="CS22" s="484">
        <f>'Rail Crash Loading'!M39</f>
        <v>9</v>
      </c>
      <c r="CT22" s="484">
        <f>'Rail Crash Loading'!N39</f>
        <v>9.25</v>
      </c>
      <c r="CU22" s="484">
        <f>'Rail Crash Loading'!O39</f>
        <v>9.25</v>
      </c>
      <c r="CV22" s="485">
        <f>'Rail Crash Loading'!P39</f>
        <v>8.75</v>
      </c>
    </row>
    <row r="23" spans="2:100" ht="14.25" x14ac:dyDescent="0.2">
      <c r="B23" s="37" t="s">
        <v>55</v>
      </c>
      <c r="C23" s="96">
        <f>D88/27</f>
        <v>0.27907407407407409</v>
      </c>
      <c r="D23" s="96">
        <f>K90/27</f>
        <v>0.16771091473765432</v>
      </c>
      <c r="E23" s="96">
        <f>C23*$E$22</f>
        <v>0.83722222222222231</v>
      </c>
      <c r="F23" s="96">
        <f>D23*2+E23</f>
        <v>1.1726440516975309</v>
      </c>
      <c r="G23" s="97">
        <f>F23*$G$22</f>
        <v>527.68982326388891</v>
      </c>
      <c r="H23" t="s">
        <v>416</v>
      </c>
      <c r="L23" s="267">
        <f>'English LRFD Working Area'!C23</f>
        <v>7.25</v>
      </c>
      <c r="M23" s="270">
        <f>'English LRFD Working Area'!P23</f>
        <v>7.75</v>
      </c>
      <c r="N23" s="378" t="str">
        <f>'English LRFD Working Area'!Q23</f>
        <v># 5</v>
      </c>
      <c r="O23" s="247">
        <f>MIN('English LRFD Working Area'!Y23:Z23)</f>
        <v>9.25</v>
      </c>
      <c r="P23" s="378" t="str">
        <f>'English LRFD Working Area'!R23</f>
        <v># 5</v>
      </c>
      <c r="Q23" s="234">
        <f>MIN(VLOOKUP($P23,$U$76:$V$78,2,FALSE),'English LRFD Working Area'!AC23:AD23)</f>
        <v>8</v>
      </c>
      <c r="R23" s="234">
        <f>MIN(VLOOKUP($P23,$U$76:$V$78,2,FALSE),'English LRFD Working Area'!AG23:AH23)</f>
        <v>6.25</v>
      </c>
      <c r="S23" s="234">
        <f>MIN(VLOOKUP($P23,$U$76:$V$78,2,FALSE),'English LRFD Working Area'!AK23:AL23)</f>
        <v>6.5</v>
      </c>
      <c r="T23" s="234">
        <f>MIN(VLOOKUP($P23,$U$76:$V$78,2,FALSE),'English LRFD Working Area'!AO23:AP23)</f>
        <v>7.25</v>
      </c>
      <c r="U23" s="234">
        <f>MIN(VLOOKUP($P23,$U$76:$V$78,2,FALSE),'English LRFD Working Area'!AS23:AT23)</f>
        <v>9</v>
      </c>
      <c r="V23" s="247">
        <f>MIN(VLOOKUP($P23,$U$76:$V$78,2,FALSE),'English LRFD Working Area'!AW23:AX23)</f>
        <v>5.75</v>
      </c>
      <c r="W23" s="246" t="str">
        <f>'English LRFD Working Area'!AY23</f>
        <v># 4</v>
      </c>
      <c r="X23" s="260">
        <f>'English LRFD Working Area'!BA23</f>
        <v>9</v>
      </c>
      <c r="Y23" s="237">
        <f>'English LRFD Working Area'!BB23</f>
        <v>10</v>
      </c>
      <c r="Z23" s="237">
        <f>'English LRFD Working Area'!BC23</f>
        <v>10</v>
      </c>
      <c r="AA23" s="237">
        <f>'English LRFD Working Area'!BD23</f>
        <v>9</v>
      </c>
      <c r="AB23" s="237">
        <f>'English LRFD Working Area'!BE23</f>
        <v>8</v>
      </c>
      <c r="AC23" s="261">
        <f>'English LRFD Working Area'!BF23</f>
        <v>10</v>
      </c>
      <c r="AF23" s="267">
        <f t="shared" si="7"/>
        <v>7.25</v>
      </c>
      <c r="AG23" s="270">
        <f t="shared" si="8"/>
        <v>7.75</v>
      </c>
      <c r="AH23" s="422">
        <f>'English LRFD Working Area'!BJ23</f>
        <v>4.25</v>
      </c>
      <c r="AI23" s="416">
        <f>'English LRFD Working Area'!BK23</f>
        <v>9.0344827586206886</v>
      </c>
      <c r="AJ23" s="401">
        <f>'English LRFD Working Area'!BL23</f>
        <v>10.482758620689655</v>
      </c>
      <c r="AK23" s="401">
        <f>'English LRFD Working Area'!BM23</f>
        <v>10.068965572413791</v>
      </c>
      <c r="AL23" s="401">
        <f>'English LRFD Working Area'!BN23</f>
        <v>9.5172413793103452</v>
      </c>
      <c r="AM23" s="401">
        <f>'English LRFD Working Area'!BO23</f>
        <v>8.2758620689655178</v>
      </c>
      <c r="AN23" s="417">
        <f>'English LRFD Working Area'!BP23</f>
        <v>11.172413793103448</v>
      </c>
      <c r="AP23" s="267">
        <f t="shared" si="1"/>
        <v>7.25</v>
      </c>
      <c r="AQ23" s="470">
        <f>'English LRFD Working Area'!BR23</f>
        <v>0.67</v>
      </c>
      <c r="AR23" s="464">
        <f>'English LRFD Working Area'!BS23</f>
        <v>0.67</v>
      </c>
      <c r="AS23" s="464">
        <f>'English LRFD Working Area'!BT23</f>
        <v>0.67</v>
      </c>
      <c r="AT23" s="464">
        <f>'English LRFD Working Area'!BU23</f>
        <v>0.67</v>
      </c>
      <c r="AU23" s="464">
        <f>'English LRFD Working Area'!BV23</f>
        <v>0.67</v>
      </c>
      <c r="AV23" s="471">
        <f>'English LRFD Working Area'!BW23</f>
        <v>0.67</v>
      </c>
      <c r="BF23" s="62">
        <f t="shared" si="11"/>
        <v>8.4166666666666679</v>
      </c>
      <c r="BG23" s="63">
        <f t="shared" si="11"/>
        <v>8.9583333333333339</v>
      </c>
      <c r="BH23" s="63">
        <f t="shared" si="11"/>
        <v>8.75</v>
      </c>
      <c r="BI23" s="63">
        <f t="shared" si="11"/>
        <v>9.0833333333333339</v>
      </c>
      <c r="BJ23" s="63">
        <f t="shared" si="11"/>
        <v>8.6666666666666679</v>
      </c>
      <c r="BK23" s="63">
        <f t="shared" si="11"/>
        <v>7.916666666666667</v>
      </c>
      <c r="BL23" s="64">
        <f t="shared" si="11"/>
        <v>9.4166666666666679</v>
      </c>
      <c r="BM23" s="70">
        <v>7.416666666666667</v>
      </c>
      <c r="BN23" s="8">
        <v>7.75</v>
      </c>
      <c r="BO23" s="6" t="s">
        <v>41</v>
      </c>
      <c r="BP23" s="9">
        <v>6.75</v>
      </c>
      <c r="BQ23" s="6">
        <v>7</v>
      </c>
      <c r="BR23" s="6">
        <v>2</v>
      </c>
      <c r="BS23" s="7">
        <f t="shared" si="4"/>
        <v>9.25</v>
      </c>
      <c r="BU23" s="497">
        <f>'Rail Crash Loading'!C21</f>
        <v>4.5</v>
      </c>
      <c r="BV23" s="378" t="str">
        <f>'Rail Crash Loading'!D21</f>
        <v># 5</v>
      </c>
      <c r="BW23" s="484">
        <f>'Rail Crash Loading'!E21</f>
        <v>6.5</v>
      </c>
      <c r="BX23" s="484">
        <f>'Rail Crash Loading'!F21</f>
        <v>6</v>
      </c>
      <c r="BY23" s="484">
        <f>'Rail Crash Loading'!G21</f>
        <v>6</v>
      </c>
      <c r="BZ23" s="484">
        <f>'Rail Crash Loading'!H21</f>
        <v>6.25</v>
      </c>
      <c r="CA23" s="484">
        <f>'Rail Crash Loading'!I21</f>
        <v>6.75</v>
      </c>
      <c r="CB23" s="485">
        <f>'Rail Crash Loading'!J21</f>
        <v>6</v>
      </c>
      <c r="CC23" s="484">
        <f>'Rail Crash Loading'!K21</f>
        <v>6.5</v>
      </c>
      <c r="CD23" s="484">
        <f>'Rail Crash Loading'!L21</f>
        <v>6</v>
      </c>
      <c r="CE23" s="484">
        <f>'Rail Crash Loading'!M21</f>
        <v>6</v>
      </c>
      <c r="CF23" s="484">
        <f>'Rail Crash Loading'!N21</f>
        <v>6.25</v>
      </c>
      <c r="CG23" s="484">
        <f>'Rail Crash Loading'!O21</f>
        <v>6.5</v>
      </c>
      <c r="CH23" s="485">
        <f>'Rail Crash Loading'!P21</f>
        <v>6</v>
      </c>
      <c r="CI23" s="497">
        <f>'Rail Crash Loading'!C40</f>
        <v>4.5</v>
      </c>
      <c r="CJ23" s="487" t="str">
        <f>'Rail Crash Loading'!D40</f>
        <v># 6</v>
      </c>
      <c r="CK23" s="484">
        <f>'Rail Crash Loading'!E40</f>
        <v>9.25</v>
      </c>
      <c r="CL23" s="484">
        <f>'Rail Crash Loading'!F40</f>
        <v>8.5</v>
      </c>
      <c r="CM23" s="484">
        <f>'Rail Crash Loading'!G40</f>
        <v>8.75</v>
      </c>
      <c r="CN23" s="484">
        <f>'Rail Crash Loading'!H40</f>
        <v>9</v>
      </c>
      <c r="CO23" s="484">
        <f>'Rail Crash Loading'!I40</f>
        <v>9.75</v>
      </c>
      <c r="CP23" s="485">
        <f>'Rail Crash Loading'!J40</f>
        <v>8.5</v>
      </c>
      <c r="CQ23" s="484">
        <f>'Rail Crash Loading'!K40</f>
        <v>9.25</v>
      </c>
      <c r="CR23" s="484">
        <f>'Rail Crash Loading'!L40</f>
        <v>8.5</v>
      </c>
      <c r="CS23" s="484">
        <f>'Rail Crash Loading'!M40</f>
        <v>8.75</v>
      </c>
      <c r="CT23" s="484">
        <f>'Rail Crash Loading'!N40</f>
        <v>9</v>
      </c>
      <c r="CU23" s="484">
        <f>'Rail Crash Loading'!O40</f>
        <v>9.25</v>
      </c>
      <c r="CV23" s="485">
        <f>'Rail Crash Loading'!P40</f>
        <v>8.5</v>
      </c>
    </row>
    <row r="24" spans="2:100" ht="12.75" customHeight="1" thickBot="1" x14ac:dyDescent="0.25">
      <c r="B24" s="35" t="s">
        <v>56</v>
      </c>
      <c r="C24" s="44">
        <f>D93</f>
        <v>50.324166224580011</v>
      </c>
      <c r="D24" s="44">
        <f>K94</f>
        <v>30.491339855667551</v>
      </c>
      <c r="E24" s="44">
        <f>C24*$E$22</f>
        <v>150.97249867374003</v>
      </c>
      <c r="F24" s="44">
        <f>D24*2+E24</f>
        <v>211.95517838507513</v>
      </c>
      <c r="G24" s="45">
        <f>F24*$G$22</f>
        <v>95379.830273283806</v>
      </c>
      <c r="H24" t="s">
        <v>148</v>
      </c>
      <c r="L24" s="267">
        <f>'English LRFD Working Area'!C24</f>
        <v>7.5</v>
      </c>
      <c r="M24" s="270">
        <f>'English LRFD Working Area'!P24</f>
        <v>7.75</v>
      </c>
      <c r="N24" s="378" t="str">
        <f>'English LRFD Working Area'!Q24</f>
        <v># 5</v>
      </c>
      <c r="O24" s="247">
        <f>MIN('English LRFD Working Area'!Y24:Z24)</f>
        <v>9</v>
      </c>
      <c r="P24" s="378" t="str">
        <f>'English LRFD Working Area'!R24</f>
        <v># 5</v>
      </c>
      <c r="Q24" s="234">
        <f>MIN(VLOOKUP($P24,$U$76:$V$78,2,FALSE),'English LRFD Working Area'!AC24:AD24)</f>
        <v>7.75</v>
      </c>
      <c r="R24" s="234">
        <f>MIN(VLOOKUP($P24,$U$76:$V$78,2,FALSE),'English LRFD Working Area'!AG24:AH24)</f>
        <v>6</v>
      </c>
      <c r="S24" s="234">
        <f>MIN(VLOOKUP($P24,$U$76:$V$78,2,FALSE),'English LRFD Working Area'!AK24:AL24)</f>
        <v>6.25</v>
      </c>
      <c r="T24" s="234">
        <f>MIN(VLOOKUP($P24,$U$76:$V$78,2,FALSE),'English LRFD Working Area'!AO24:AP24)</f>
        <v>7.25</v>
      </c>
      <c r="U24" s="234">
        <f>MIN(VLOOKUP($P24,$U$76:$V$78,2,FALSE),'English LRFD Working Area'!AS24:AT24)</f>
        <v>8.75</v>
      </c>
      <c r="V24" s="247">
        <f>MIN(VLOOKUP($P24,$U$76:$V$78,2,FALSE),'English LRFD Working Area'!AW24:AX24)</f>
        <v>5.5</v>
      </c>
      <c r="W24" s="246" t="str">
        <f>'English LRFD Working Area'!AY24</f>
        <v># 4</v>
      </c>
      <c r="X24" s="260">
        <f>'English LRFD Working Area'!BA24</f>
        <v>9</v>
      </c>
      <c r="Y24" s="237">
        <f>'English LRFD Working Area'!BB24</f>
        <v>10</v>
      </c>
      <c r="Z24" s="237">
        <f>'English LRFD Working Area'!BC24</f>
        <v>10</v>
      </c>
      <c r="AA24" s="237">
        <f>'English LRFD Working Area'!BD24</f>
        <v>10</v>
      </c>
      <c r="AB24" s="237">
        <f>'English LRFD Working Area'!BE24</f>
        <v>9</v>
      </c>
      <c r="AC24" s="261">
        <f>'English LRFD Working Area'!BF24</f>
        <v>11</v>
      </c>
      <c r="AF24" s="267">
        <f t="shared" si="7"/>
        <v>7.5</v>
      </c>
      <c r="AG24" s="270">
        <f t="shared" si="8"/>
        <v>7.75</v>
      </c>
      <c r="AH24" s="422">
        <f>'English LRFD Working Area'!BJ24</f>
        <v>4.25</v>
      </c>
      <c r="AI24" s="416">
        <f>'English LRFD Working Area'!BK24</f>
        <v>9.4482758620689644</v>
      </c>
      <c r="AJ24" s="401">
        <f>'English LRFD Working Area'!BL24</f>
        <v>10.896551724137931</v>
      </c>
      <c r="AK24" s="401">
        <f>'English LRFD Working Area'!BM24</f>
        <v>10.482758675862069</v>
      </c>
      <c r="AL24" s="401">
        <f>'English LRFD Working Area'!BN24</f>
        <v>9.931034482758621</v>
      </c>
      <c r="AM24" s="401">
        <f>'English LRFD Working Area'!BO24</f>
        <v>8.6896551724137936</v>
      </c>
      <c r="AN24" s="417">
        <f>'English LRFD Working Area'!BP24</f>
        <v>11.586206896551724</v>
      </c>
      <c r="AP24" s="267">
        <f t="shared" si="1"/>
        <v>7.5</v>
      </c>
      <c r="AQ24" s="470">
        <f>'English LRFD Working Area'!BR24</f>
        <v>0.67</v>
      </c>
      <c r="AR24" s="464">
        <f>'English LRFD Working Area'!BS24</f>
        <v>0.67</v>
      </c>
      <c r="AS24" s="464">
        <f>'English LRFD Working Area'!BT24</f>
        <v>0.67</v>
      </c>
      <c r="AT24" s="464">
        <f>'English LRFD Working Area'!BU24</f>
        <v>0.67</v>
      </c>
      <c r="AU24" s="464">
        <f>'English LRFD Working Area'!BV24</f>
        <v>0.67</v>
      </c>
      <c r="AV24" s="471">
        <f>'English LRFD Working Area'!BW24</f>
        <v>0.67</v>
      </c>
      <c r="BF24" s="62">
        <f t="shared" si="11"/>
        <v>8.8333333333333321</v>
      </c>
      <c r="BG24" s="63">
        <f t="shared" si="11"/>
        <v>9.375</v>
      </c>
      <c r="BH24" s="63">
        <f t="shared" si="11"/>
        <v>9.1666666666666661</v>
      </c>
      <c r="BI24" s="63">
        <f t="shared" si="11"/>
        <v>9.5</v>
      </c>
      <c r="BJ24" s="63">
        <f t="shared" si="11"/>
        <v>9.0833333333333321</v>
      </c>
      <c r="BK24" s="63">
        <f t="shared" si="11"/>
        <v>8.3333333333333321</v>
      </c>
      <c r="BL24" s="64">
        <f t="shared" si="11"/>
        <v>9.8333333333333321</v>
      </c>
      <c r="BM24" s="70">
        <v>7.833333333333333</v>
      </c>
      <c r="BN24" s="8">
        <v>8</v>
      </c>
      <c r="BO24" s="6" t="s">
        <v>41</v>
      </c>
      <c r="BP24" s="9">
        <v>6.75</v>
      </c>
      <c r="BQ24" s="6">
        <v>8</v>
      </c>
      <c r="BR24" s="6">
        <v>2</v>
      </c>
      <c r="BS24" s="7">
        <f t="shared" si="4"/>
        <v>9.5</v>
      </c>
      <c r="BU24" s="497">
        <f>'Rail Crash Loading'!C22</f>
        <v>4.75</v>
      </c>
      <c r="BV24" s="378" t="str">
        <f>'Rail Crash Loading'!D22</f>
        <v># 5</v>
      </c>
      <c r="BW24" s="484">
        <f>'Rail Crash Loading'!E22</f>
        <v>6.25</v>
      </c>
      <c r="BX24" s="484">
        <f>'Rail Crash Loading'!F22</f>
        <v>5.75</v>
      </c>
      <c r="BY24" s="484">
        <f>'Rail Crash Loading'!G22</f>
        <v>6</v>
      </c>
      <c r="BZ24" s="484">
        <f>'Rail Crash Loading'!H22</f>
        <v>6.25</v>
      </c>
      <c r="CA24" s="484">
        <f>'Rail Crash Loading'!I22</f>
        <v>6.5</v>
      </c>
      <c r="CB24" s="485">
        <f>'Rail Crash Loading'!J22</f>
        <v>5.75</v>
      </c>
      <c r="CC24" s="484">
        <f>'Rail Crash Loading'!K22</f>
        <v>6.25</v>
      </c>
      <c r="CD24" s="484">
        <f>'Rail Crash Loading'!L22</f>
        <v>5.75</v>
      </c>
      <c r="CE24" s="484">
        <f>'Rail Crash Loading'!M22</f>
        <v>6</v>
      </c>
      <c r="CF24" s="484">
        <f>'Rail Crash Loading'!N22</f>
        <v>6</v>
      </c>
      <c r="CG24" s="484">
        <f>'Rail Crash Loading'!O22</f>
        <v>6.5</v>
      </c>
      <c r="CH24" s="485">
        <f>'Rail Crash Loading'!P22</f>
        <v>5.75</v>
      </c>
      <c r="CI24" s="497">
        <f>'Rail Crash Loading'!C41</f>
        <v>4.75</v>
      </c>
      <c r="CJ24" s="487" t="str">
        <f>'Rail Crash Loading'!D41</f>
        <v># 6</v>
      </c>
      <c r="CK24" s="484">
        <f>'Rail Crash Loading'!E41</f>
        <v>9</v>
      </c>
      <c r="CL24" s="484">
        <f>'Rail Crash Loading'!F41</f>
        <v>8.25</v>
      </c>
      <c r="CM24" s="484">
        <f>'Rail Crash Loading'!G41</f>
        <v>8.5</v>
      </c>
      <c r="CN24" s="484">
        <f>'Rail Crash Loading'!H41</f>
        <v>8.75</v>
      </c>
      <c r="CO24" s="484">
        <f>'Rail Crash Loading'!I41</f>
        <v>9.25</v>
      </c>
      <c r="CP24" s="485">
        <f>'Rail Crash Loading'!J41</f>
        <v>8.25</v>
      </c>
      <c r="CQ24" s="484">
        <f>'Rail Crash Loading'!K41</f>
        <v>9</v>
      </c>
      <c r="CR24" s="484">
        <f>'Rail Crash Loading'!L41</f>
        <v>8.25</v>
      </c>
      <c r="CS24" s="484">
        <f>'Rail Crash Loading'!M41</f>
        <v>8.5</v>
      </c>
      <c r="CT24" s="484">
        <f>'Rail Crash Loading'!N41</f>
        <v>8.75</v>
      </c>
      <c r="CU24" s="484">
        <f>'Rail Crash Loading'!O41</f>
        <v>9.25</v>
      </c>
      <c r="CV24" s="485">
        <f>'Rail Crash Loading'!P41</f>
        <v>8.25</v>
      </c>
    </row>
    <row r="25" spans="2:100" x14ac:dyDescent="0.2">
      <c r="B25" s="3" t="s">
        <v>140</v>
      </c>
      <c r="C25" s="4"/>
      <c r="D25" s="4"/>
      <c r="E25" s="4"/>
      <c r="F25" s="51" t="s">
        <v>142</v>
      </c>
      <c r="G25" s="5"/>
      <c r="L25" s="267">
        <f>'English LRFD Working Area'!C25</f>
        <v>7.75</v>
      </c>
      <c r="M25" s="270">
        <f>'English LRFD Working Area'!P25</f>
        <v>7.75</v>
      </c>
      <c r="N25" s="378" t="str">
        <f>'English LRFD Working Area'!Q25</f>
        <v># 5</v>
      </c>
      <c r="O25" s="247">
        <f>MIN('English LRFD Working Area'!Y25:Z25)</f>
        <v>8.75</v>
      </c>
      <c r="P25" s="378" t="str">
        <f>'English LRFD Working Area'!R25</f>
        <v># 5</v>
      </c>
      <c r="Q25" s="234">
        <f>MIN(VLOOKUP($P25,$U$76:$V$78,2,FALSE),'English LRFD Working Area'!AC25:AD25)</f>
        <v>7.5</v>
      </c>
      <c r="R25" s="234">
        <f>MIN(VLOOKUP($P25,$U$76:$V$78,2,FALSE),'English LRFD Working Area'!AG25:AH25)</f>
        <v>6</v>
      </c>
      <c r="S25" s="234">
        <f>MIN(VLOOKUP($P25,$U$76:$V$78,2,FALSE),'English LRFD Working Area'!AK25:AL25)</f>
        <v>6.25</v>
      </c>
      <c r="T25" s="234">
        <f>MIN(VLOOKUP($P25,$U$76:$V$78,2,FALSE),'English LRFD Working Area'!AO25:AP25)</f>
        <v>7</v>
      </c>
      <c r="U25" s="234">
        <f>MIN(VLOOKUP($P25,$U$76:$V$78,2,FALSE),'English LRFD Working Area'!AS25:AT25)</f>
        <v>8.25</v>
      </c>
      <c r="V25" s="247">
        <f>MIN(VLOOKUP($P25,$U$76:$V$78,2,FALSE),'English LRFD Working Area'!AW25:AX25)</f>
        <v>5.5</v>
      </c>
      <c r="W25" s="246" t="str">
        <f>'English LRFD Working Area'!AY25</f>
        <v># 4</v>
      </c>
      <c r="X25" s="260">
        <f>'English LRFD Working Area'!BA25</f>
        <v>10</v>
      </c>
      <c r="Y25" s="237">
        <f>'English LRFD Working Area'!BB25</f>
        <v>11</v>
      </c>
      <c r="Z25" s="237">
        <f>'English LRFD Working Area'!BC25</f>
        <v>11</v>
      </c>
      <c r="AA25" s="237">
        <f>'English LRFD Working Area'!BD25</f>
        <v>10</v>
      </c>
      <c r="AB25" s="237">
        <f>'English LRFD Working Area'!BE25</f>
        <v>9</v>
      </c>
      <c r="AC25" s="261">
        <f>'English LRFD Working Area'!BF25</f>
        <v>12</v>
      </c>
      <c r="AF25" s="267">
        <f t="shared" si="7"/>
        <v>7.75</v>
      </c>
      <c r="AG25" s="270">
        <f t="shared" si="8"/>
        <v>7.75</v>
      </c>
      <c r="AH25" s="422">
        <f>'English LRFD Working Area'!BJ25</f>
        <v>4.25</v>
      </c>
      <c r="AI25" s="416">
        <f>'English LRFD Working Area'!BK25</f>
        <v>9.8620689655172402</v>
      </c>
      <c r="AJ25" s="401">
        <f>'English LRFD Working Area'!BL25</f>
        <v>11.310344827586206</v>
      </c>
      <c r="AK25" s="401">
        <f>'English LRFD Working Area'!BM25</f>
        <v>10.896551779310345</v>
      </c>
      <c r="AL25" s="401">
        <f>'English LRFD Working Area'!BN25</f>
        <v>10.344827586206897</v>
      </c>
      <c r="AM25" s="401">
        <f>'English LRFD Working Area'!BO25</f>
        <v>9.1034482758620676</v>
      </c>
      <c r="AN25" s="417">
        <f>'English LRFD Working Area'!BP25</f>
        <v>12</v>
      </c>
      <c r="AP25" s="267">
        <f t="shared" si="1"/>
        <v>7.75</v>
      </c>
      <c r="AQ25" s="470">
        <f>'English LRFD Working Area'!BR25</f>
        <v>0.67</v>
      </c>
      <c r="AR25" s="464">
        <f>'English LRFD Working Area'!BS25</f>
        <v>0.67</v>
      </c>
      <c r="AS25" s="464">
        <f>'English LRFD Working Area'!BT25</f>
        <v>0.67</v>
      </c>
      <c r="AT25" s="464">
        <f>'English LRFD Working Area'!BU25</f>
        <v>0.67</v>
      </c>
      <c r="AU25" s="464">
        <f>'English LRFD Working Area'!BV25</f>
        <v>0.67</v>
      </c>
      <c r="AV25" s="471">
        <f>'English LRFD Working Area'!BW25</f>
        <v>0.67</v>
      </c>
      <c r="BF25" s="62">
        <f t="shared" si="11"/>
        <v>9.1666666666666661</v>
      </c>
      <c r="BG25" s="63">
        <f t="shared" si="11"/>
        <v>9.7083333333333321</v>
      </c>
      <c r="BH25" s="63">
        <f t="shared" si="11"/>
        <v>9.5</v>
      </c>
      <c r="BI25" s="63">
        <f t="shared" si="11"/>
        <v>9.8333333333333321</v>
      </c>
      <c r="BJ25" s="63">
        <f t="shared" si="11"/>
        <v>9.4166666666666661</v>
      </c>
      <c r="BK25" s="63">
        <f t="shared" si="11"/>
        <v>8.6666666666666661</v>
      </c>
      <c r="BL25" s="64">
        <f t="shared" si="11"/>
        <v>10.166666666666666</v>
      </c>
      <c r="BM25" s="70">
        <v>8.1666666666666661</v>
      </c>
      <c r="BN25" s="8">
        <v>8</v>
      </c>
      <c r="BO25" s="6" t="s">
        <v>41</v>
      </c>
      <c r="BP25" s="9">
        <v>6.5</v>
      </c>
      <c r="BQ25" s="6">
        <v>8</v>
      </c>
      <c r="BR25" s="6">
        <v>2</v>
      </c>
      <c r="BS25" s="7">
        <f t="shared" si="4"/>
        <v>9.5</v>
      </c>
      <c r="BU25" s="497">
        <f>'Rail Crash Loading'!C23</f>
        <v>5</v>
      </c>
      <c r="BV25" s="378" t="str">
        <f>'Rail Crash Loading'!D23</f>
        <v># 5</v>
      </c>
      <c r="BW25" s="484">
        <f>'Rail Crash Loading'!E23</f>
        <v>6</v>
      </c>
      <c r="BX25" s="484">
        <f>'Rail Crash Loading'!F23</f>
        <v>5.75</v>
      </c>
      <c r="BY25" s="484">
        <f>'Rail Crash Loading'!G23</f>
        <v>5.75</v>
      </c>
      <c r="BZ25" s="484">
        <f>'Rail Crash Loading'!H23</f>
        <v>6</v>
      </c>
      <c r="CA25" s="484">
        <f>'Rail Crash Loading'!I23</f>
        <v>6.25</v>
      </c>
      <c r="CB25" s="485">
        <f>'Rail Crash Loading'!J23</f>
        <v>5.5</v>
      </c>
      <c r="CC25" s="484">
        <f>'Rail Crash Loading'!K23</f>
        <v>6</v>
      </c>
      <c r="CD25" s="484">
        <f>'Rail Crash Loading'!L23</f>
        <v>5.75</v>
      </c>
      <c r="CE25" s="484">
        <f>'Rail Crash Loading'!M23</f>
        <v>5.75</v>
      </c>
      <c r="CF25" s="484">
        <f>'Rail Crash Loading'!N23</f>
        <v>6</v>
      </c>
      <c r="CG25" s="484">
        <f>'Rail Crash Loading'!O23</f>
        <v>6.25</v>
      </c>
      <c r="CH25" s="485">
        <f>'Rail Crash Loading'!P23</f>
        <v>5.5</v>
      </c>
      <c r="CI25" s="497">
        <f>'Rail Crash Loading'!C42</f>
        <v>5</v>
      </c>
      <c r="CJ25" s="487" t="str">
        <f>'Rail Crash Loading'!D42</f>
        <v># 6</v>
      </c>
      <c r="CK25" s="484">
        <f>'Rail Crash Loading'!E42</f>
        <v>8.75</v>
      </c>
      <c r="CL25" s="484">
        <f>'Rail Crash Loading'!F42</f>
        <v>8</v>
      </c>
      <c r="CM25" s="484">
        <f>'Rail Crash Loading'!G42</f>
        <v>8.25</v>
      </c>
      <c r="CN25" s="484">
        <f>'Rail Crash Loading'!H42</f>
        <v>8.5</v>
      </c>
      <c r="CO25" s="484">
        <f>'Rail Crash Loading'!I42</f>
        <v>9</v>
      </c>
      <c r="CP25" s="485">
        <f>'Rail Crash Loading'!J42</f>
        <v>8</v>
      </c>
      <c r="CQ25" s="484">
        <f>'Rail Crash Loading'!K42</f>
        <v>8.75</v>
      </c>
      <c r="CR25" s="484">
        <f>'Rail Crash Loading'!L42</f>
        <v>8</v>
      </c>
      <c r="CS25" s="484">
        <f>'Rail Crash Loading'!M42</f>
        <v>8.25</v>
      </c>
      <c r="CT25" s="484">
        <f>'Rail Crash Loading'!N42</f>
        <v>8.5</v>
      </c>
      <c r="CU25" s="484">
        <f>'Rail Crash Loading'!O42</f>
        <v>9</v>
      </c>
      <c r="CV25" s="485">
        <f>'Rail Crash Loading'!P42</f>
        <v>8</v>
      </c>
    </row>
    <row r="26" spans="2:100" ht="13.5" thickBot="1" x14ac:dyDescent="0.25">
      <c r="B26" s="35"/>
      <c r="C26" s="36"/>
      <c r="D26" s="44">
        <f>AD89</f>
        <v>484.995</v>
      </c>
      <c r="E26" s="36" t="s">
        <v>141</v>
      </c>
      <c r="F26" s="83">
        <f>'Deck Design Worksheet'!F41</f>
        <v>2</v>
      </c>
      <c r="G26" s="45">
        <f>D26*F26</f>
        <v>969.99</v>
      </c>
      <c r="H26" t="s">
        <v>148</v>
      </c>
      <c r="L26" s="267">
        <f>'English LRFD Working Area'!C26</f>
        <v>8</v>
      </c>
      <c r="M26" s="270">
        <f>'English LRFD Working Area'!P26</f>
        <v>7.75</v>
      </c>
      <c r="N26" s="378" t="str">
        <f>'English LRFD Working Area'!Q26</f>
        <v># 5</v>
      </c>
      <c r="O26" s="247">
        <f>MIN('English LRFD Working Area'!Y26:Z26)</f>
        <v>8.5</v>
      </c>
      <c r="P26" s="378" t="str">
        <f>'English LRFD Working Area'!R26</f>
        <v># 5</v>
      </c>
      <c r="Q26" s="234">
        <f>MIN(VLOOKUP($P26,$U$76:$V$78,2,FALSE),'English LRFD Working Area'!AC26:AD26)</f>
        <v>7.25</v>
      </c>
      <c r="R26" s="234">
        <f>MIN(VLOOKUP($P26,$U$76:$V$78,2,FALSE),'English LRFD Working Area'!AG26:AH26)</f>
        <v>5.75</v>
      </c>
      <c r="S26" s="234">
        <f>MIN(VLOOKUP($P26,$U$76:$V$78,2,FALSE),'English LRFD Working Area'!AK26:AL26)</f>
        <v>6</v>
      </c>
      <c r="T26" s="234">
        <f>MIN(VLOOKUP($P26,$U$76:$V$78,2,FALSE),'English LRFD Working Area'!AO26:AP26)</f>
        <v>6.75</v>
      </c>
      <c r="U26" s="234">
        <f>MIN(VLOOKUP($P26,$U$76:$V$78,2,FALSE),'English LRFD Working Area'!AS26:AT26)</f>
        <v>7.75</v>
      </c>
      <c r="V26" s="247">
        <f>MIN(VLOOKUP($P26,$U$76:$V$78,2,FALSE),'English LRFD Working Area'!AW26:AX26)</f>
        <v>5.5</v>
      </c>
      <c r="W26" s="246" t="str">
        <f>'English LRFD Working Area'!AY26</f>
        <v># 4</v>
      </c>
      <c r="X26" s="260">
        <f>'English LRFD Working Area'!BA26</f>
        <v>10</v>
      </c>
      <c r="Y26" s="237">
        <f>'English LRFD Working Area'!BB26</f>
        <v>12</v>
      </c>
      <c r="Z26" s="237">
        <f>'English LRFD Working Area'!BC26</f>
        <v>11</v>
      </c>
      <c r="AA26" s="237">
        <f>'English LRFD Working Area'!BD26</f>
        <v>11</v>
      </c>
      <c r="AB26" s="237">
        <f>'English LRFD Working Area'!BE26</f>
        <v>10</v>
      </c>
      <c r="AC26" s="261">
        <f>'English LRFD Working Area'!BF26</f>
        <v>12</v>
      </c>
      <c r="AF26" s="267">
        <f t="shared" si="7"/>
        <v>8</v>
      </c>
      <c r="AG26" s="270">
        <f t="shared" si="8"/>
        <v>7.75</v>
      </c>
      <c r="AH26" s="422">
        <f>'English LRFD Working Area'!BJ26</f>
        <v>4.25</v>
      </c>
      <c r="AI26" s="416">
        <f>'English LRFD Working Area'!BK26</f>
        <v>10.275862068965518</v>
      </c>
      <c r="AJ26" s="401">
        <f>'English LRFD Working Area'!BL26</f>
        <v>11.724137931034482</v>
      </c>
      <c r="AK26" s="401">
        <f>'English LRFD Working Area'!BM26</f>
        <v>11.310344882758621</v>
      </c>
      <c r="AL26" s="401">
        <f>'English LRFD Working Area'!BN26</f>
        <v>10.758620689655173</v>
      </c>
      <c r="AM26" s="401">
        <f>'English LRFD Working Area'!BO26</f>
        <v>9.5172413793103452</v>
      </c>
      <c r="AN26" s="417">
        <f>'English LRFD Working Area'!BP26</f>
        <v>12.413793103448278</v>
      </c>
      <c r="AP26" s="267">
        <f t="shared" si="1"/>
        <v>8</v>
      </c>
      <c r="AQ26" s="470">
        <f>'English LRFD Working Area'!BR26</f>
        <v>0.67</v>
      </c>
      <c r="AR26" s="464">
        <f>'English LRFD Working Area'!BS26</f>
        <v>0.67</v>
      </c>
      <c r="AS26" s="464">
        <f>'English LRFD Working Area'!BT26</f>
        <v>0.67</v>
      </c>
      <c r="AT26" s="464">
        <f>'English LRFD Working Area'!BU26</f>
        <v>0.67</v>
      </c>
      <c r="AU26" s="464">
        <f>'English LRFD Working Area'!BV26</f>
        <v>0.67</v>
      </c>
      <c r="AV26" s="471">
        <f>'English LRFD Working Area'!BW26</f>
        <v>0.67</v>
      </c>
      <c r="BF26" s="62">
        <f t="shared" si="11"/>
        <v>9.4166666666666661</v>
      </c>
      <c r="BG26" s="63">
        <f t="shared" si="11"/>
        <v>9.9583333333333321</v>
      </c>
      <c r="BH26" s="63">
        <f t="shared" si="11"/>
        <v>9.75</v>
      </c>
      <c r="BI26" s="63">
        <f t="shared" si="11"/>
        <v>10.083333333333332</v>
      </c>
      <c r="BJ26" s="63">
        <f t="shared" si="11"/>
        <v>9.6666666666666661</v>
      </c>
      <c r="BK26" s="63">
        <f t="shared" si="11"/>
        <v>8.9166666666666661</v>
      </c>
      <c r="BL26" s="64">
        <f t="shared" si="11"/>
        <v>10.416666666666666</v>
      </c>
      <c r="BM26" s="70">
        <v>8.4166666666666661</v>
      </c>
      <c r="BN26" s="8">
        <v>8</v>
      </c>
      <c r="BO26" s="6" t="s">
        <v>41</v>
      </c>
      <c r="BP26" s="9">
        <v>6.25</v>
      </c>
      <c r="BQ26" s="6">
        <v>9</v>
      </c>
      <c r="BR26" s="6">
        <v>3</v>
      </c>
      <c r="BS26" s="7">
        <f t="shared" si="4"/>
        <v>9.5</v>
      </c>
      <c r="BU26" s="497">
        <f>'Rail Crash Loading'!C24</f>
        <v>5.25</v>
      </c>
      <c r="BV26" s="378" t="str">
        <f>'Rail Crash Loading'!D24</f>
        <v># 5</v>
      </c>
      <c r="BW26" s="484">
        <f>'Rail Crash Loading'!E24</f>
        <v>6</v>
      </c>
      <c r="BX26" s="484">
        <f>'Rail Crash Loading'!F24</f>
        <v>5.5</v>
      </c>
      <c r="BY26" s="484">
        <f>'Rail Crash Loading'!G24</f>
        <v>5.5</v>
      </c>
      <c r="BZ26" s="484">
        <f>'Rail Crash Loading'!H24</f>
        <v>5.75</v>
      </c>
      <c r="CA26" s="484">
        <f>'Rail Crash Loading'!I24</f>
        <v>6.25</v>
      </c>
      <c r="CB26" s="485">
        <f>'Rail Crash Loading'!J24</f>
        <v>5.5</v>
      </c>
      <c r="CC26" s="484">
        <f>'Rail Crash Loading'!K24</f>
        <v>6</v>
      </c>
      <c r="CD26" s="484">
        <f>'Rail Crash Loading'!L24</f>
        <v>5.5</v>
      </c>
      <c r="CE26" s="484">
        <f>'Rail Crash Loading'!M24</f>
        <v>5.5</v>
      </c>
      <c r="CF26" s="484">
        <f>'Rail Crash Loading'!N24</f>
        <v>5.75</v>
      </c>
      <c r="CG26" s="484">
        <f>'Rail Crash Loading'!O24</f>
        <v>6</v>
      </c>
      <c r="CH26" s="485">
        <f>'Rail Crash Loading'!P24</f>
        <v>5.5</v>
      </c>
      <c r="CI26" s="497">
        <f>'Rail Crash Loading'!C43</f>
        <v>5.25</v>
      </c>
      <c r="CJ26" s="487" t="str">
        <f>'Rail Crash Loading'!D43</f>
        <v># 6</v>
      </c>
      <c r="CK26" s="484">
        <f>'Rail Crash Loading'!E43</f>
        <v>8.5</v>
      </c>
      <c r="CL26" s="484">
        <f>'Rail Crash Loading'!F43</f>
        <v>7.75</v>
      </c>
      <c r="CM26" s="484">
        <f>'Rail Crash Loading'!G43</f>
        <v>8</v>
      </c>
      <c r="CN26" s="484">
        <f>'Rail Crash Loading'!H43</f>
        <v>8.25</v>
      </c>
      <c r="CO26" s="484">
        <f>'Rail Crash Loading'!I43</f>
        <v>8.75</v>
      </c>
      <c r="CP26" s="485">
        <f>'Rail Crash Loading'!J43</f>
        <v>7.75</v>
      </c>
      <c r="CQ26" s="484">
        <f>'Rail Crash Loading'!K43</f>
        <v>8.5</v>
      </c>
      <c r="CR26" s="484">
        <f>'Rail Crash Loading'!L43</f>
        <v>7.75</v>
      </c>
      <c r="CS26" s="484">
        <f>'Rail Crash Loading'!M43</f>
        <v>8</v>
      </c>
      <c r="CT26" s="484">
        <f>'Rail Crash Loading'!N43</f>
        <v>8.25</v>
      </c>
      <c r="CU26" s="484">
        <f>'Rail Crash Loading'!O43</f>
        <v>8.75</v>
      </c>
      <c r="CV26" s="485">
        <f>'Rail Crash Loading'!P43</f>
        <v>7.75</v>
      </c>
    </row>
    <row r="27" spans="2:100" x14ac:dyDescent="0.2">
      <c r="B27" s="84" t="s">
        <v>136</v>
      </c>
      <c r="C27" s="4"/>
      <c r="D27" s="51" t="s">
        <v>138</v>
      </c>
      <c r="E27" s="85">
        <f>'Deck Design Worksheet'!E42</f>
        <v>30</v>
      </c>
      <c r="F27" s="4"/>
      <c r="G27" s="5"/>
      <c r="L27" s="267">
        <f>'English LRFD Working Area'!C27</f>
        <v>8.25</v>
      </c>
      <c r="M27" s="270">
        <f>'English LRFD Working Area'!P27</f>
        <v>7.75</v>
      </c>
      <c r="N27" s="378" t="str">
        <f>'English LRFD Working Area'!Q27</f>
        <v># 5</v>
      </c>
      <c r="O27" s="247">
        <f>MIN('English LRFD Working Area'!Y27:Z27)</f>
        <v>8.25</v>
      </c>
      <c r="P27" s="378" t="str">
        <f>'English LRFD Working Area'!R27</f>
        <v># 5</v>
      </c>
      <c r="Q27" s="234">
        <f>MIN(VLOOKUP($P27,$U$76:$V$78,2,FALSE),'English LRFD Working Area'!AC27:AD27)</f>
        <v>7</v>
      </c>
      <c r="R27" s="234">
        <f>MIN(VLOOKUP($P27,$U$76:$V$78,2,FALSE),'English LRFD Working Area'!AG27:AH27)</f>
        <v>5.75</v>
      </c>
      <c r="S27" s="234">
        <f>MIN(VLOOKUP($P27,$U$76:$V$78,2,FALSE),'English LRFD Working Area'!AK27:AL27)</f>
        <v>6</v>
      </c>
      <c r="T27" s="234">
        <f>MIN(VLOOKUP($P27,$U$76:$V$78,2,FALSE),'English LRFD Working Area'!AO27:AP27)</f>
        <v>6.75</v>
      </c>
      <c r="U27" s="234">
        <f>MIN(VLOOKUP($P27,$U$76:$V$78,2,FALSE),'English LRFD Working Area'!AS27:AT27)</f>
        <v>7.5</v>
      </c>
      <c r="V27" s="247">
        <f>MIN(VLOOKUP($P27,$U$76:$V$78,2,FALSE),'English LRFD Working Area'!AW27:AX27)</f>
        <v>5.25</v>
      </c>
      <c r="W27" s="246" t="str">
        <f>'English LRFD Working Area'!AY27</f>
        <v># 4</v>
      </c>
      <c r="X27" s="260">
        <f>'English LRFD Working Area'!BA27</f>
        <v>11</v>
      </c>
      <c r="Y27" s="237">
        <f>'English LRFD Working Area'!BB27</f>
        <v>12</v>
      </c>
      <c r="Z27" s="237">
        <f>'English LRFD Working Area'!BC27</f>
        <v>12</v>
      </c>
      <c r="AA27" s="237">
        <f>'English LRFD Working Area'!BD27</f>
        <v>12</v>
      </c>
      <c r="AB27" s="237">
        <f>'English LRFD Working Area'!BE27</f>
        <v>10</v>
      </c>
      <c r="AC27" s="261">
        <f>'English LRFD Working Area'!BF27</f>
        <v>13</v>
      </c>
      <c r="AF27" s="267">
        <f t="shared" si="7"/>
        <v>8.25</v>
      </c>
      <c r="AG27" s="270">
        <f t="shared" si="8"/>
        <v>7.75</v>
      </c>
      <c r="AH27" s="422">
        <f>'English LRFD Working Area'!BJ27</f>
        <v>4.25</v>
      </c>
      <c r="AI27" s="416">
        <f>'English LRFD Working Area'!BK27</f>
        <v>10.689655172413794</v>
      </c>
      <c r="AJ27" s="401">
        <f>'English LRFD Working Area'!BL27</f>
        <v>12.137931034482758</v>
      </c>
      <c r="AK27" s="401">
        <f>'English LRFD Working Area'!BM27</f>
        <v>11.724137986206896</v>
      </c>
      <c r="AL27" s="401">
        <f>'English LRFD Working Area'!BN27</f>
        <v>11.172413793103448</v>
      </c>
      <c r="AM27" s="401">
        <f>'English LRFD Working Area'!BO27</f>
        <v>9.931034482758621</v>
      </c>
      <c r="AN27" s="417">
        <f>'English LRFD Working Area'!BP27</f>
        <v>12.827586206896552</v>
      </c>
      <c r="AP27" s="267">
        <f t="shared" si="1"/>
        <v>8.25</v>
      </c>
      <c r="AQ27" s="470">
        <f>'English LRFD Working Area'!BR27</f>
        <v>0.67</v>
      </c>
      <c r="AR27" s="464">
        <f>'English LRFD Working Area'!BS27</f>
        <v>0.67</v>
      </c>
      <c r="AS27" s="464">
        <f>'English LRFD Working Area'!BT27</f>
        <v>0.67</v>
      </c>
      <c r="AT27" s="464">
        <f>'English LRFD Working Area'!BU27</f>
        <v>0.67</v>
      </c>
      <c r="AU27" s="464">
        <f>'English LRFD Working Area'!BV27</f>
        <v>0.67</v>
      </c>
      <c r="AV27" s="471">
        <f>'English LRFD Working Area'!BW27</f>
        <v>0.67</v>
      </c>
      <c r="BF27" s="62">
        <f t="shared" si="11"/>
        <v>9.5833333333333339</v>
      </c>
      <c r="BG27" s="63">
        <f t="shared" si="11"/>
        <v>10.125</v>
      </c>
      <c r="BH27" s="63">
        <f t="shared" si="11"/>
        <v>9.9166666666666679</v>
      </c>
      <c r="BI27" s="63">
        <f t="shared" si="11"/>
        <v>10.25</v>
      </c>
      <c r="BJ27" s="63">
        <f t="shared" si="11"/>
        <v>9.8333333333333339</v>
      </c>
      <c r="BK27" s="63">
        <f t="shared" si="11"/>
        <v>9.0833333333333339</v>
      </c>
      <c r="BL27" s="64">
        <f t="shared" si="11"/>
        <v>10.583333333333334</v>
      </c>
      <c r="BM27" s="70">
        <v>8.5833333333333339</v>
      </c>
      <c r="BN27" s="8">
        <v>8</v>
      </c>
      <c r="BO27" s="6" t="s">
        <v>41</v>
      </c>
      <c r="BP27" s="9">
        <v>6</v>
      </c>
      <c r="BQ27" s="6">
        <v>9</v>
      </c>
      <c r="BR27" s="6">
        <v>3</v>
      </c>
      <c r="BS27" s="7">
        <f t="shared" si="4"/>
        <v>9.5</v>
      </c>
      <c r="BU27" s="497">
        <f>'Rail Crash Loading'!C25</f>
        <v>5.5</v>
      </c>
      <c r="BV27" s="378" t="str">
        <f>'Rail Crash Loading'!D25</f>
        <v># 5</v>
      </c>
      <c r="BW27" s="484">
        <f>'Rail Crash Loading'!E25</f>
        <v>5.75</v>
      </c>
      <c r="BX27" s="484">
        <f>'Rail Crash Loading'!F25</f>
        <v>5.25</v>
      </c>
      <c r="BY27" s="484">
        <f>'Rail Crash Loading'!G25</f>
        <v>5.25</v>
      </c>
      <c r="BZ27" s="484">
        <f>'Rail Crash Loading'!H25</f>
        <v>5.5</v>
      </c>
      <c r="CA27" s="484">
        <f>'Rail Crash Loading'!I25</f>
        <v>6</v>
      </c>
      <c r="CB27" s="485">
        <f>'Rail Crash Loading'!J25</f>
        <v>5.25</v>
      </c>
      <c r="CC27" s="484">
        <f>'Rail Crash Loading'!K25</f>
        <v>5.75</v>
      </c>
      <c r="CD27" s="484">
        <f>'Rail Crash Loading'!L25</f>
        <v>5.25</v>
      </c>
      <c r="CE27" s="484">
        <f>'Rail Crash Loading'!M25</f>
        <v>5.5</v>
      </c>
      <c r="CF27" s="484">
        <f>'Rail Crash Loading'!N25</f>
        <v>5.5</v>
      </c>
      <c r="CG27" s="484">
        <f>'Rail Crash Loading'!O25</f>
        <v>6</v>
      </c>
      <c r="CH27" s="485">
        <f>'Rail Crash Loading'!P25</f>
        <v>5.25</v>
      </c>
      <c r="CI27" s="497">
        <f>'Rail Crash Loading'!C44</f>
        <v>5.5</v>
      </c>
      <c r="CJ27" s="487" t="str">
        <f>'Rail Crash Loading'!D44</f>
        <v># 6</v>
      </c>
      <c r="CK27" s="484">
        <f>'Rail Crash Loading'!E44</f>
        <v>8.25</v>
      </c>
      <c r="CL27" s="484">
        <f>'Rail Crash Loading'!F44</f>
        <v>7.5</v>
      </c>
      <c r="CM27" s="484">
        <f>'Rail Crash Loading'!G44</f>
        <v>7.75</v>
      </c>
      <c r="CN27" s="484">
        <f>'Rail Crash Loading'!H44</f>
        <v>8</v>
      </c>
      <c r="CO27" s="484">
        <f>'Rail Crash Loading'!I44</f>
        <v>8.5</v>
      </c>
      <c r="CP27" s="485">
        <f>'Rail Crash Loading'!J44</f>
        <v>7.5</v>
      </c>
      <c r="CQ27" s="484">
        <f>'Rail Crash Loading'!K44</f>
        <v>8.25</v>
      </c>
      <c r="CR27" s="484">
        <f>'Rail Crash Loading'!L44</f>
        <v>7.75</v>
      </c>
      <c r="CS27" s="484">
        <f>'Rail Crash Loading'!M44</f>
        <v>7.75</v>
      </c>
      <c r="CT27" s="484">
        <f>'Rail Crash Loading'!N44</f>
        <v>8</v>
      </c>
      <c r="CU27" s="484">
        <f>'Rail Crash Loading'!O44</f>
        <v>8.5</v>
      </c>
      <c r="CV27" s="485">
        <f>'Rail Crash Loading'!P44</f>
        <v>7.5</v>
      </c>
    </row>
    <row r="28" spans="2:100" x14ac:dyDescent="0.2">
      <c r="B28" s="37"/>
      <c r="C28" s="38"/>
      <c r="D28" s="38"/>
      <c r="E28" s="38"/>
      <c r="F28" s="6" t="s">
        <v>137</v>
      </c>
      <c r="G28" s="7"/>
      <c r="L28" s="267">
        <f>'English LRFD Working Area'!C28</f>
        <v>8.5</v>
      </c>
      <c r="M28" s="270">
        <f>'English LRFD Working Area'!P28</f>
        <v>7.75</v>
      </c>
      <c r="N28" s="378" t="str">
        <f>'English LRFD Working Area'!Q28</f>
        <v># 5</v>
      </c>
      <c r="O28" s="247">
        <f>MIN('English LRFD Working Area'!Y28:Z28)</f>
        <v>8</v>
      </c>
      <c r="P28" s="378" t="str">
        <f>'English LRFD Working Area'!R28</f>
        <v># 5</v>
      </c>
      <c r="Q28" s="234">
        <f>MIN(VLOOKUP($P28,$U$76:$V$78,2,FALSE),'English LRFD Working Area'!AC28:AD28)</f>
        <v>7</v>
      </c>
      <c r="R28" s="234">
        <f>MIN(VLOOKUP($P28,$U$76:$V$78,2,FALSE),'English LRFD Working Area'!AG28:AH28)</f>
        <v>5.5</v>
      </c>
      <c r="S28" s="234">
        <f>MIN(VLOOKUP($P28,$U$76:$V$78,2,FALSE),'English LRFD Working Area'!AK28:AL28)</f>
        <v>6</v>
      </c>
      <c r="T28" s="234">
        <f>MIN(VLOOKUP($P28,$U$76:$V$78,2,FALSE),'English LRFD Working Area'!AO28:AP28)</f>
        <v>6.5</v>
      </c>
      <c r="U28" s="234">
        <f>MIN(VLOOKUP($P28,$U$76:$V$78,2,FALSE),'English LRFD Working Area'!AS28:AT28)</f>
        <v>7.25</v>
      </c>
      <c r="V28" s="247">
        <f>MIN(VLOOKUP($P28,$U$76:$V$78,2,FALSE),'English LRFD Working Area'!AW28:AX28)</f>
        <v>5.25</v>
      </c>
      <c r="W28" s="246" t="str">
        <f>'English LRFD Working Area'!AY28</f>
        <v># 4</v>
      </c>
      <c r="X28" s="260">
        <f>'English LRFD Working Area'!BA28</f>
        <v>12</v>
      </c>
      <c r="Y28" s="237">
        <f>'English LRFD Working Area'!BB28</f>
        <v>13</v>
      </c>
      <c r="Z28" s="237">
        <f>'English LRFD Working Area'!BC28</f>
        <v>13</v>
      </c>
      <c r="AA28" s="237">
        <f>'English LRFD Working Area'!BD28</f>
        <v>12</v>
      </c>
      <c r="AB28" s="237">
        <f>'English LRFD Working Area'!BE28</f>
        <v>11</v>
      </c>
      <c r="AC28" s="261">
        <f>'English LRFD Working Area'!BF28</f>
        <v>14</v>
      </c>
      <c r="AF28" s="267">
        <f t="shared" si="7"/>
        <v>8.5</v>
      </c>
      <c r="AG28" s="270">
        <f t="shared" si="8"/>
        <v>7.75</v>
      </c>
      <c r="AH28" s="422">
        <f>'English LRFD Working Area'!BJ28</f>
        <v>4.25</v>
      </c>
      <c r="AI28" s="416">
        <f>'English LRFD Working Area'!BK28</f>
        <v>11.103448275862068</v>
      </c>
      <c r="AJ28" s="401">
        <f>'English LRFD Working Area'!BL28</f>
        <v>12.551724137931034</v>
      </c>
      <c r="AK28" s="401">
        <f>'English LRFD Working Area'!BM28</f>
        <v>12.137931089655172</v>
      </c>
      <c r="AL28" s="401">
        <f>'English LRFD Working Area'!BN28</f>
        <v>11.586206896551724</v>
      </c>
      <c r="AM28" s="401">
        <f>'English LRFD Working Area'!BO28</f>
        <v>10.344827586206897</v>
      </c>
      <c r="AN28" s="417">
        <f>'English LRFD Working Area'!BP28</f>
        <v>13.241379310344827</v>
      </c>
      <c r="AP28" s="267">
        <f t="shared" si="1"/>
        <v>8.5</v>
      </c>
      <c r="AQ28" s="470">
        <f>'English LRFD Working Area'!BR28</f>
        <v>0.67</v>
      </c>
      <c r="AR28" s="464">
        <f>'English LRFD Working Area'!BS28</f>
        <v>0.67</v>
      </c>
      <c r="AS28" s="464">
        <f>'English LRFD Working Area'!BT28</f>
        <v>0.67</v>
      </c>
      <c r="AT28" s="464">
        <f>'English LRFD Working Area'!BU28</f>
        <v>0.67</v>
      </c>
      <c r="AU28" s="464">
        <f>'English LRFD Working Area'!BV28</f>
        <v>0.67</v>
      </c>
      <c r="AV28" s="471">
        <f>'English LRFD Working Area'!BW28</f>
        <v>0.67</v>
      </c>
      <c r="BF28" s="62">
        <f t="shared" si="11"/>
        <v>9.9166666666666661</v>
      </c>
      <c r="BG28" s="63">
        <f t="shared" si="11"/>
        <v>10.458333333333332</v>
      </c>
      <c r="BH28" s="63">
        <f t="shared" si="11"/>
        <v>10.25</v>
      </c>
      <c r="BI28" s="63">
        <f t="shared" si="11"/>
        <v>10.583333333333332</v>
      </c>
      <c r="BJ28" s="63">
        <f t="shared" si="11"/>
        <v>10.166666666666666</v>
      </c>
      <c r="BK28" s="63">
        <f t="shared" si="11"/>
        <v>9.4166666666666661</v>
      </c>
      <c r="BL28" s="64">
        <f t="shared" si="11"/>
        <v>10.916666666666666</v>
      </c>
      <c r="BM28" s="70">
        <v>8.9166666666666661</v>
      </c>
      <c r="BN28" s="8">
        <v>8.25</v>
      </c>
      <c r="BO28" s="6" t="s">
        <v>41</v>
      </c>
      <c r="BP28" s="9">
        <v>6.25</v>
      </c>
      <c r="BQ28" s="6">
        <v>9</v>
      </c>
      <c r="BR28" s="6">
        <v>3</v>
      </c>
      <c r="BS28" s="7">
        <f t="shared" si="4"/>
        <v>9.75</v>
      </c>
      <c r="BU28" s="497">
        <f>'Rail Crash Loading'!C26</f>
        <v>5.75</v>
      </c>
      <c r="BV28" s="378" t="str">
        <f>'Rail Crash Loading'!D26</f>
        <v># 5</v>
      </c>
      <c r="BW28" s="484">
        <f>'Rail Crash Loading'!E26</f>
        <v>5.5</v>
      </c>
      <c r="BX28" s="484">
        <f>'Rail Crash Loading'!F26</f>
        <v>5.25</v>
      </c>
      <c r="BY28" s="484">
        <f>'Rail Crash Loading'!G26</f>
        <v>5.25</v>
      </c>
      <c r="BZ28" s="484">
        <f>'Rail Crash Loading'!H26</f>
        <v>5.5</v>
      </c>
      <c r="CA28" s="484">
        <f>'Rail Crash Loading'!I26</f>
        <v>5.75</v>
      </c>
      <c r="CB28" s="485">
        <f>'Rail Crash Loading'!J26</f>
        <v>5</v>
      </c>
      <c r="CC28" s="484">
        <f>'Rail Crash Loading'!K26</f>
        <v>5.5</v>
      </c>
      <c r="CD28" s="484">
        <f>'Rail Crash Loading'!L26</f>
        <v>5.25</v>
      </c>
      <c r="CE28" s="484">
        <f>'Rail Crash Loading'!M26</f>
        <v>5.25</v>
      </c>
      <c r="CF28" s="484">
        <f>'Rail Crash Loading'!N26</f>
        <v>5.5</v>
      </c>
      <c r="CG28" s="484">
        <f>'Rail Crash Loading'!O26</f>
        <v>5.75</v>
      </c>
      <c r="CH28" s="485">
        <f>'Rail Crash Loading'!P26</f>
        <v>5.25</v>
      </c>
      <c r="CI28" s="497">
        <f>'Rail Crash Loading'!C45</f>
        <v>5.75</v>
      </c>
      <c r="CJ28" s="487" t="str">
        <f>'Rail Crash Loading'!D45</f>
        <v># 6</v>
      </c>
      <c r="CK28" s="484">
        <f>'Rail Crash Loading'!E45</f>
        <v>8</v>
      </c>
      <c r="CL28" s="484">
        <f>'Rail Crash Loading'!F45</f>
        <v>7.25</v>
      </c>
      <c r="CM28" s="484">
        <f>'Rail Crash Loading'!G45</f>
        <v>7.5</v>
      </c>
      <c r="CN28" s="484">
        <f>'Rail Crash Loading'!H45</f>
        <v>7.75</v>
      </c>
      <c r="CO28" s="484">
        <f>'Rail Crash Loading'!I45</f>
        <v>8.25</v>
      </c>
      <c r="CP28" s="485">
        <f>'Rail Crash Loading'!J45</f>
        <v>7.25</v>
      </c>
      <c r="CQ28" s="484">
        <f>'Rail Crash Loading'!K45</f>
        <v>8</v>
      </c>
      <c r="CR28" s="484">
        <f>'Rail Crash Loading'!L45</f>
        <v>7.5</v>
      </c>
      <c r="CS28" s="484">
        <f>'Rail Crash Loading'!M45</f>
        <v>7.5</v>
      </c>
      <c r="CT28" s="484">
        <f>'Rail Crash Loading'!N45</f>
        <v>7.75</v>
      </c>
      <c r="CU28" s="484">
        <f>'Rail Crash Loading'!O45</f>
        <v>8.25</v>
      </c>
      <c r="CV28" s="485">
        <f>'Rail Crash Loading'!P45</f>
        <v>7.25</v>
      </c>
    </row>
    <row r="29" spans="2:100" ht="13.5" thickBot="1" x14ac:dyDescent="0.25">
      <c r="B29" s="37"/>
      <c r="C29" s="43" t="s">
        <v>56</v>
      </c>
      <c r="D29" s="75">
        <f>F105</f>
        <v>250.02486428868974</v>
      </c>
      <c r="E29" s="38" t="s">
        <v>149</v>
      </c>
      <c r="F29" s="53">
        <f>'Deck Design Worksheet'!F44</f>
        <v>2</v>
      </c>
      <c r="G29" s="86">
        <f>F29*D29</f>
        <v>500.04972857737948</v>
      </c>
      <c r="H29" t="s">
        <v>148</v>
      </c>
      <c r="L29" s="267">
        <f>'English LRFD Working Area'!C29</f>
        <v>8.75</v>
      </c>
      <c r="M29" s="270">
        <f>'English LRFD Working Area'!P29</f>
        <v>8</v>
      </c>
      <c r="N29" s="378" t="str">
        <f>'English LRFD Working Area'!Q29</f>
        <v># 5</v>
      </c>
      <c r="O29" s="247">
        <f>MIN('English LRFD Working Area'!Y29:Z29)</f>
        <v>8</v>
      </c>
      <c r="P29" s="378" t="str">
        <f>'English LRFD Working Area'!R29</f>
        <v># 5</v>
      </c>
      <c r="Q29" s="234">
        <f>MIN(VLOOKUP($P29,$U$76:$V$78,2,FALSE),'English LRFD Working Area'!AC29:AD29)</f>
        <v>7</v>
      </c>
      <c r="R29" s="234">
        <f>MIN(VLOOKUP($P29,$U$76:$V$78,2,FALSE),'English LRFD Working Area'!AG29:AH29)</f>
        <v>5.75</v>
      </c>
      <c r="S29" s="234">
        <f>MIN(VLOOKUP($P29,$U$76:$V$78,2,FALSE),'English LRFD Working Area'!AK29:AL29)</f>
        <v>6</v>
      </c>
      <c r="T29" s="234">
        <f>MIN(VLOOKUP($P29,$U$76:$V$78,2,FALSE),'English LRFD Working Area'!AO29:AP29)</f>
        <v>6.75</v>
      </c>
      <c r="U29" s="234">
        <f>MIN(VLOOKUP($P29,$U$76:$V$78,2,FALSE),'English LRFD Working Area'!AS29:AT29)</f>
        <v>7.5</v>
      </c>
      <c r="V29" s="247">
        <f>MIN(VLOOKUP($P29,$U$76:$V$78,2,FALSE),'English LRFD Working Area'!AW29:AX29)</f>
        <v>5.5</v>
      </c>
      <c r="W29" s="246" t="str">
        <f>'English LRFD Working Area'!AY29</f>
        <v># 4</v>
      </c>
      <c r="X29" s="260">
        <f>'English LRFD Working Area'!BA29</f>
        <v>12</v>
      </c>
      <c r="Y29" s="237">
        <f>'English LRFD Working Area'!BB29</f>
        <v>13</v>
      </c>
      <c r="Z29" s="237">
        <f>'English LRFD Working Area'!BC29</f>
        <v>13</v>
      </c>
      <c r="AA29" s="237">
        <f>'English LRFD Working Area'!BD29</f>
        <v>12</v>
      </c>
      <c r="AB29" s="237">
        <f>'English LRFD Working Area'!BE29</f>
        <v>11</v>
      </c>
      <c r="AC29" s="261">
        <f>'English LRFD Working Area'!BF29</f>
        <v>14</v>
      </c>
      <c r="AF29" s="267">
        <f t="shared" si="7"/>
        <v>8.75</v>
      </c>
      <c r="AG29" s="270">
        <f t="shared" si="8"/>
        <v>8</v>
      </c>
      <c r="AH29" s="422">
        <f>'English LRFD Working Area'!BJ29</f>
        <v>4.5</v>
      </c>
      <c r="AI29" s="416">
        <f>'English LRFD Working Area'!BK29</f>
        <v>11.133333333333333</v>
      </c>
      <c r="AJ29" s="401">
        <f>'English LRFD Working Area'!BL29</f>
        <v>12.533333333333335</v>
      </c>
      <c r="AK29" s="401">
        <f>'English LRFD Working Area'!BM29</f>
        <v>12.133333386666665</v>
      </c>
      <c r="AL29" s="401">
        <f>'English LRFD Working Area'!BN29</f>
        <v>11.6</v>
      </c>
      <c r="AM29" s="401">
        <f>'English LRFD Working Area'!BO29</f>
        <v>10.4</v>
      </c>
      <c r="AN29" s="417">
        <f>'English LRFD Working Area'!BP29</f>
        <v>13.200000000000001</v>
      </c>
      <c r="AP29" s="267">
        <f t="shared" si="1"/>
        <v>8.75</v>
      </c>
      <c r="AQ29" s="470">
        <f>'English LRFD Working Area'!BR29</f>
        <v>0.67</v>
      </c>
      <c r="AR29" s="464">
        <f>'English LRFD Working Area'!BS29</f>
        <v>0.67</v>
      </c>
      <c r="AS29" s="464">
        <f>'English LRFD Working Area'!BT29</f>
        <v>0.67</v>
      </c>
      <c r="AT29" s="464">
        <f>'English LRFD Working Area'!BU29</f>
        <v>0.67</v>
      </c>
      <c r="AU29" s="464">
        <f>'English LRFD Working Area'!BV29</f>
        <v>0.67</v>
      </c>
      <c r="AV29" s="471">
        <f>'English LRFD Working Area'!BW29</f>
        <v>0.67</v>
      </c>
      <c r="BF29" s="62">
        <f t="shared" si="11"/>
        <v>10.25</v>
      </c>
      <c r="BG29" s="63">
        <f t="shared" si="11"/>
        <v>10.791666666666666</v>
      </c>
      <c r="BH29" s="63">
        <f t="shared" si="11"/>
        <v>10.583333333333334</v>
      </c>
      <c r="BI29" s="63">
        <f t="shared" si="11"/>
        <v>10.916666666666666</v>
      </c>
      <c r="BJ29" s="63">
        <f t="shared" si="11"/>
        <v>10.5</v>
      </c>
      <c r="BK29" s="63">
        <f t="shared" si="11"/>
        <v>9.75</v>
      </c>
      <c r="BL29" s="64">
        <f t="shared" si="11"/>
        <v>11.25</v>
      </c>
      <c r="BM29" s="70">
        <v>9.25</v>
      </c>
      <c r="BN29" s="8">
        <v>8.25</v>
      </c>
      <c r="BO29" s="6" t="s">
        <v>41</v>
      </c>
      <c r="BP29" s="9">
        <v>6</v>
      </c>
      <c r="BQ29" s="6">
        <v>10</v>
      </c>
      <c r="BR29" s="6">
        <v>3</v>
      </c>
      <c r="BS29" s="7">
        <f t="shared" si="4"/>
        <v>9.75</v>
      </c>
      <c r="BU29" s="582">
        <f>'Rail Crash Loading'!C27</f>
        <v>6</v>
      </c>
      <c r="BV29" s="583" t="str">
        <f>'Rail Crash Loading'!D27</f>
        <v># 5</v>
      </c>
      <c r="BW29" s="488">
        <f>'Rail Crash Loading'!E27</f>
        <v>5.25</v>
      </c>
      <c r="BX29" s="488">
        <f>'Rail Crash Loading'!F27</f>
        <v>5</v>
      </c>
      <c r="BY29" s="488">
        <f>'Rail Crash Loading'!G27</f>
        <v>5</v>
      </c>
      <c r="BZ29" s="488">
        <f>'Rail Crash Loading'!H27</f>
        <v>5.25</v>
      </c>
      <c r="CA29" s="488">
        <f>'Rail Crash Loading'!I27</f>
        <v>5.5</v>
      </c>
      <c r="CB29" s="489">
        <f>'Rail Crash Loading'!J27</f>
        <v>5</v>
      </c>
      <c r="CC29" s="488">
        <f>'Rail Crash Loading'!K27</f>
        <v>5.5</v>
      </c>
      <c r="CD29" s="488">
        <f>'Rail Crash Loading'!L27</f>
        <v>5</v>
      </c>
      <c r="CE29" s="488">
        <f>'Rail Crash Loading'!M27</f>
        <v>5</v>
      </c>
      <c r="CF29" s="488">
        <f>'Rail Crash Loading'!N27</f>
        <v>5.25</v>
      </c>
      <c r="CG29" s="488">
        <f>'Rail Crash Loading'!O27</f>
        <v>5.5</v>
      </c>
      <c r="CH29" s="489">
        <f>'Rail Crash Loading'!P27</f>
        <v>5</v>
      </c>
      <c r="CI29" s="499">
        <f>'Rail Crash Loading'!C46</f>
        <v>6</v>
      </c>
      <c r="CJ29" s="493" t="str">
        <f>'Rail Crash Loading'!D46</f>
        <v># 6</v>
      </c>
      <c r="CK29" s="494">
        <f>'Rail Crash Loading'!E46</f>
        <v>7.75</v>
      </c>
      <c r="CL29" s="494">
        <f>'Rail Crash Loading'!F46</f>
        <v>7</v>
      </c>
      <c r="CM29" s="494">
        <f>'Rail Crash Loading'!G46</f>
        <v>7.25</v>
      </c>
      <c r="CN29" s="494">
        <f>'Rail Crash Loading'!H46</f>
        <v>7.5</v>
      </c>
      <c r="CO29" s="494">
        <f>'Rail Crash Loading'!I46</f>
        <v>8</v>
      </c>
      <c r="CP29" s="495">
        <f>'Rail Crash Loading'!J46</f>
        <v>7</v>
      </c>
      <c r="CQ29" s="494">
        <f>'Rail Crash Loading'!K46</f>
        <v>7.75</v>
      </c>
      <c r="CR29" s="494">
        <f>'Rail Crash Loading'!L46</f>
        <v>7.25</v>
      </c>
      <c r="CS29" s="494">
        <f>'Rail Crash Loading'!M46</f>
        <v>7.25</v>
      </c>
      <c r="CT29" s="494">
        <f>'Rail Crash Loading'!N46</f>
        <v>7.5</v>
      </c>
      <c r="CU29" s="494">
        <f>'Rail Crash Loading'!O46</f>
        <v>8</v>
      </c>
      <c r="CV29" s="495">
        <f>'Rail Crash Loading'!P46</f>
        <v>7.25</v>
      </c>
    </row>
    <row r="30" spans="2:100" ht="15" thickBot="1" x14ac:dyDescent="0.25">
      <c r="B30" s="35"/>
      <c r="C30" s="57" t="s">
        <v>55</v>
      </c>
      <c r="D30" s="87">
        <f>J102/27</f>
        <v>0.18443133599113043</v>
      </c>
      <c r="E30" s="36" t="s">
        <v>415</v>
      </c>
      <c r="F30" s="36"/>
      <c r="G30" s="88">
        <f>F29*D30</f>
        <v>0.36886267198226086</v>
      </c>
      <c r="H30" t="s">
        <v>416</v>
      </c>
      <c r="L30" s="267">
        <f>'English LRFD Working Area'!C30</f>
        <v>9</v>
      </c>
      <c r="M30" s="270">
        <f>'English LRFD Working Area'!P30</f>
        <v>8</v>
      </c>
      <c r="N30" s="378" t="str">
        <f>'English LRFD Working Area'!Q30</f>
        <v># 5</v>
      </c>
      <c r="O30" s="247">
        <f>MIN('English LRFD Working Area'!Y30:Z30)</f>
        <v>7.75</v>
      </c>
      <c r="P30" s="378" t="str">
        <f>'English LRFD Working Area'!R30</f>
        <v># 5</v>
      </c>
      <c r="Q30" s="234">
        <f>MIN(VLOOKUP($P30,$U$76:$V$78,2,FALSE),'English LRFD Working Area'!AC30:AD30)</f>
        <v>7</v>
      </c>
      <c r="R30" s="234">
        <f>MIN(VLOOKUP($P30,$U$76:$V$78,2,FALSE),'English LRFD Working Area'!AG30:AH30)</f>
        <v>5.75</v>
      </c>
      <c r="S30" s="234">
        <f>MIN(VLOOKUP($P30,$U$76:$V$78,2,FALSE),'English LRFD Working Area'!AK30:AL30)</f>
        <v>6</v>
      </c>
      <c r="T30" s="234">
        <f>MIN(VLOOKUP($P30,$U$76:$V$78,2,FALSE),'English LRFD Working Area'!AO30:AP30)</f>
        <v>6.75</v>
      </c>
      <c r="U30" s="234">
        <f>MIN(VLOOKUP($P30,$U$76:$V$78,2,FALSE),'English LRFD Working Area'!AS30:AT30)</f>
        <v>7.25</v>
      </c>
      <c r="V30" s="247">
        <f>MIN(VLOOKUP($P30,$U$76:$V$78,2,FALSE),'English LRFD Working Area'!AW30:AX30)</f>
        <v>5.25</v>
      </c>
      <c r="W30" s="246" t="str">
        <f>'English LRFD Working Area'!AY30</f>
        <v># 4</v>
      </c>
      <c r="X30" s="260">
        <f>'English LRFD Working Area'!BA30</f>
        <v>13</v>
      </c>
      <c r="Y30" s="237">
        <f>'English LRFD Working Area'!BB30</f>
        <v>14</v>
      </c>
      <c r="Z30" s="237">
        <f>'English LRFD Working Area'!BC30</f>
        <v>14</v>
      </c>
      <c r="AA30" s="237">
        <f>'English LRFD Working Area'!BD30</f>
        <v>13</v>
      </c>
      <c r="AB30" s="237">
        <f>'English LRFD Working Area'!BE30</f>
        <v>12</v>
      </c>
      <c r="AC30" s="261">
        <f>'English LRFD Working Area'!BF30</f>
        <v>15</v>
      </c>
      <c r="AF30" s="267">
        <f t="shared" si="7"/>
        <v>9</v>
      </c>
      <c r="AG30" s="270">
        <f t="shared" si="8"/>
        <v>8</v>
      </c>
      <c r="AH30" s="422">
        <f>'English LRFD Working Area'!BJ30</f>
        <v>4.5</v>
      </c>
      <c r="AI30" s="416">
        <f>'English LRFD Working Area'!BK30</f>
        <v>11.533333333333331</v>
      </c>
      <c r="AJ30" s="401">
        <f>'English LRFD Working Area'!BL30</f>
        <v>12.933333333333335</v>
      </c>
      <c r="AK30" s="401">
        <f>'English LRFD Working Area'!BM30</f>
        <v>12.533333386666666</v>
      </c>
      <c r="AL30" s="401">
        <f>'English LRFD Working Area'!BN30</f>
        <v>12</v>
      </c>
      <c r="AM30" s="401">
        <f>'English LRFD Working Area'!BO30</f>
        <v>10.8</v>
      </c>
      <c r="AN30" s="417">
        <f>'English LRFD Working Area'!BP30</f>
        <v>13.6</v>
      </c>
      <c r="AP30" s="267">
        <f t="shared" si="1"/>
        <v>9</v>
      </c>
      <c r="AQ30" s="470">
        <f>'English LRFD Working Area'!BR30</f>
        <v>0.67</v>
      </c>
      <c r="AR30" s="464">
        <f>'English LRFD Working Area'!BS30</f>
        <v>0.67</v>
      </c>
      <c r="AS30" s="464">
        <f>'English LRFD Working Area'!BT30</f>
        <v>0.67</v>
      </c>
      <c r="AT30" s="464">
        <f>'English LRFD Working Area'!BU30</f>
        <v>0.67</v>
      </c>
      <c r="AU30" s="464">
        <f>'English LRFD Working Area'!BV30</f>
        <v>0.67</v>
      </c>
      <c r="AV30" s="471">
        <f>'English LRFD Working Area'!BW30</f>
        <v>0.67</v>
      </c>
      <c r="BF30" s="65">
        <f t="shared" si="11"/>
        <v>10.5</v>
      </c>
      <c r="BG30" s="66">
        <f t="shared" si="11"/>
        <v>11.041666666666666</v>
      </c>
      <c r="BH30" s="66">
        <f t="shared" si="11"/>
        <v>10.833333333333334</v>
      </c>
      <c r="BI30" s="66">
        <f t="shared" si="11"/>
        <v>11.166666666666666</v>
      </c>
      <c r="BJ30" s="66">
        <f t="shared" si="11"/>
        <v>10.75</v>
      </c>
      <c r="BK30" s="66">
        <f t="shared" si="11"/>
        <v>10</v>
      </c>
      <c r="BL30" s="67">
        <f t="shared" si="11"/>
        <v>11.5</v>
      </c>
      <c r="BM30" s="70">
        <v>9.5</v>
      </c>
      <c r="BN30" s="8">
        <v>8.25</v>
      </c>
      <c r="BO30" s="6" t="s">
        <v>41</v>
      </c>
      <c r="BP30" s="9">
        <v>5.75</v>
      </c>
      <c r="BQ30" s="6">
        <v>11</v>
      </c>
      <c r="BR30" s="6">
        <v>3</v>
      </c>
      <c r="BS30" s="7">
        <f t="shared" si="4"/>
        <v>9.75</v>
      </c>
    </row>
    <row r="31" spans="2:100" x14ac:dyDescent="0.2">
      <c r="B31" s="84" t="s">
        <v>135</v>
      </c>
      <c r="C31" s="4"/>
      <c r="D31" s="4"/>
      <c r="E31" s="4"/>
      <c r="F31" s="34" t="s">
        <v>137</v>
      </c>
      <c r="G31" s="5"/>
      <c r="L31" s="267">
        <f>'English LRFD Working Area'!C31</f>
        <v>9.25</v>
      </c>
      <c r="M31" s="270">
        <f>'English LRFD Working Area'!P31</f>
        <v>8</v>
      </c>
      <c r="N31" s="378" t="str">
        <f>'English LRFD Working Area'!Q31</f>
        <v># 5</v>
      </c>
      <c r="O31" s="247">
        <f>MIN('English LRFD Working Area'!Y31:Z31)</f>
        <v>7.75</v>
      </c>
      <c r="P31" s="378" t="str">
        <f>'English LRFD Working Area'!R31</f>
        <v># 5</v>
      </c>
      <c r="Q31" s="234">
        <f>MIN(VLOOKUP($P31,$U$76:$V$78,2,FALSE),'English LRFD Working Area'!AC31:AD31)</f>
        <v>6.75</v>
      </c>
      <c r="R31" s="234">
        <f>MIN(VLOOKUP($P31,$U$76:$V$78,2,FALSE),'English LRFD Working Area'!AG31:AH31)</f>
        <v>5.75</v>
      </c>
      <c r="S31" s="234">
        <f>MIN(VLOOKUP($P31,$U$76:$V$78,2,FALSE),'English LRFD Working Area'!AK31:AL31)</f>
        <v>6</v>
      </c>
      <c r="T31" s="234">
        <f>MIN(VLOOKUP($P31,$U$76:$V$78,2,FALSE),'English LRFD Working Area'!AO31:AP31)</f>
        <v>6.5</v>
      </c>
      <c r="U31" s="234">
        <f>MIN(VLOOKUP($P31,$U$76:$V$78,2,FALSE),'English LRFD Working Area'!AS31:AT31)</f>
        <v>7</v>
      </c>
      <c r="V31" s="247">
        <f>MIN(VLOOKUP($P31,$U$76:$V$78,2,FALSE),'English LRFD Working Area'!AW31:AX31)</f>
        <v>5.25</v>
      </c>
      <c r="W31" s="246" t="str">
        <f>'English LRFD Working Area'!AY31</f>
        <v># 4</v>
      </c>
      <c r="X31" s="260">
        <f>'English LRFD Working Area'!BA31</f>
        <v>13</v>
      </c>
      <c r="Y31" s="237">
        <f>'English LRFD Working Area'!BB31</f>
        <v>15</v>
      </c>
      <c r="Z31" s="237">
        <f>'English LRFD Working Area'!BC31</f>
        <v>14</v>
      </c>
      <c r="AA31" s="237">
        <f>'English LRFD Working Area'!BD31</f>
        <v>14</v>
      </c>
      <c r="AB31" s="237">
        <f>'English LRFD Working Area'!BE31</f>
        <v>13</v>
      </c>
      <c r="AC31" s="261">
        <f>'English LRFD Working Area'!BF31</f>
        <v>16</v>
      </c>
      <c r="AF31" s="267">
        <f t="shared" si="7"/>
        <v>9.25</v>
      </c>
      <c r="AG31" s="270">
        <f t="shared" si="8"/>
        <v>8</v>
      </c>
      <c r="AH31" s="422">
        <f>'English LRFD Working Area'!BJ31</f>
        <v>4.5</v>
      </c>
      <c r="AI31" s="416">
        <f>'English LRFD Working Area'!BK31</f>
        <v>11.933333333333332</v>
      </c>
      <c r="AJ31" s="401">
        <f>'English LRFD Working Area'!BL31</f>
        <v>13.333333333333334</v>
      </c>
      <c r="AK31" s="401">
        <f>'English LRFD Working Area'!BM31</f>
        <v>12.933333386666664</v>
      </c>
      <c r="AL31" s="401">
        <f>'English LRFD Working Area'!BN31</f>
        <v>12.400000000000002</v>
      </c>
      <c r="AM31" s="401">
        <f>'English LRFD Working Area'!BO31</f>
        <v>11.2</v>
      </c>
      <c r="AN31" s="417">
        <f>'English LRFD Working Area'!BP31</f>
        <v>14</v>
      </c>
      <c r="AP31" s="267">
        <f t="shared" si="1"/>
        <v>9.25</v>
      </c>
      <c r="AQ31" s="470">
        <f>'English LRFD Working Area'!BR31</f>
        <v>0.67</v>
      </c>
      <c r="AR31" s="464">
        <f>'English LRFD Working Area'!BS31</f>
        <v>0.67</v>
      </c>
      <c r="AS31" s="464">
        <f>'English LRFD Working Area'!BT31</f>
        <v>0.67</v>
      </c>
      <c r="AT31" s="464">
        <f>'English LRFD Working Area'!BU31</f>
        <v>0.67</v>
      </c>
      <c r="AU31" s="464">
        <f>'English LRFD Working Area'!BV31</f>
        <v>0.67</v>
      </c>
      <c r="AV31" s="471">
        <f>'English LRFD Working Area'!BW31</f>
        <v>0.67</v>
      </c>
      <c r="BG31" s="1"/>
      <c r="BM31" s="70">
        <v>9.8333333333333339</v>
      </c>
      <c r="BN31" s="8">
        <v>8.25</v>
      </c>
      <c r="BO31" s="6" t="s">
        <v>42</v>
      </c>
      <c r="BP31" s="9">
        <v>7.75</v>
      </c>
      <c r="BQ31" s="6">
        <v>12</v>
      </c>
      <c r="BR31" s="6">
        <v>3</v>
      </c>
      <c r="BS31" s="7">
        <f t="shared" si="4"/>
        <v>9.75</v>
      </c>
      <c r="BV31" s="636" t="s">
        <v>496</v>
      </c>
      <c r="BW31" s="277"/>
      <c r="BX31" s="278"/>
      <c r="BY31" s="637" t="s">
        <v>77</v>
      </c>
      <c r="BZ31" s="638" t="s">
        <v>76</v>
      </c>
      <c r="CA31" s="637" t="s">
        <v>113</v>
      </c>
      <c r="CB31" s="638" t="s">
        <v>76</v>
      </c>
      <c r="CJ31" s="636" t="s">
        <v>496</v>
      </c>
      <c r="CK31" s="277"/>
      <c r="CL31" s="278"/>
    </row>
    <row r="32" spans="2:100" x14ac:dyDescent="0.2">
      <c r="B32" s="37"/>
      <c r="C32" s="43" t="s">
        <v>56</v>
      </c>
      <c r="D32" s="75">
        <f>F112</f>
        <v>114.51600000000001</v>
      </c>
      <c r="E32" s="38" t="s">
        <v>149</v>
      </c>
      <c r="F32" s="53">
        <f>'Deck Design Worksheet'!F47</f>
        <v>2</v>
      </c>
      <c r="G32" s="86">
        <f>F32*D32</f>
        <v>229.03200000000001</v>
      </c>
      <c r="H32" t="s">
        <v>148</v>
      </c>
      <c r="L32" s="267">
        <f>'English LRFD Working Area'!C32</f>
        <v>9.5</v>
      </c>
      <c r="M32" s="270">
        <f>'English LRFD Working Area'!P32</f>
        <v>8</v>
      </c>
      <c r="N32" s="378" t="str">
        <f>'English LRFD Working Area'!Q32</f>
        <v># 5</v>
      </c>
      <c r="O32" s="247">
        <f>MIN('English LRFD Working Area'!Y32:Z32)</f>
        <v>7.5</v>
      </c>
      <c r="P32" s="378" t="str">
        <f>'English LRFD Working Area'!R32</f>
        <v># 5</v>
      </c>
      <c r="Q32" s="234">
        <f>MIN(VLOOKUP($P32,$U$76:$V$78,2,FALSE),'English LRFD Working Area'!AC32:AD32)</f>
        <v>6.5</v>
      </c>
      <c r="R32" s="234">
        <f>MIN(VLOOKUP($P32,$U$76:$V$78,2,FALSE),'English LRFD Working Area'!AG32:AH32)</f>
        <v>5.5</v>
      </c>
      <c r="S32" s="234">
        <f>MIN(VLOOKUP($P32,$U$76:$V$78,2,FALSE),'English LRFD Working Area'!AK32:AL32)</f>
        <v>5.75</v>
      </c>
      <c r="T32" s="234">
        <f>MIN(VLOOKUP($P32,$U$76:$V$78,2,FALSE),'English LRFD Working Area'!AO32:AP32)</f>
        <v>6.25</v>
      </c>
      <c r="U32" s="234">
        <f>MIN(VLOOKUP($P32,$U$76:$V$78,2,FALSE),'English LRFD Working Area'!AS32:AT32)</f>
        <v>6.75</v>
      </c>
      <c r="V32" s="247">
        <f>MIN(VLOOKUP($P32,$U$76:$V$78,2,FALSE),'English LRFD Working Area'!AW32:AX32)</f>
        <v>5</v>
      </c>
      <c r="W32" s="246" t="str">
        <f>'English LRFD Working Area'!AY32</f>
        <v># 4</v>
      </c>
      <c r="X32" s="260">
        <f>'English LRFD Working Area'!BA32</f>
        <v>14</v>
      </c>
      <c r="Y32" s="237">
        <f>'English LRFD Working Area'!BB32</f>
        <v>16</v>
      </c>
      <c r="Z32" s="237">
        <f>'English LRFD Working Area'!BC32</f>
        <v>15</v>
      </c>
      <c r="AA32" s="237">
        <f>'English LRFD Working Area'!BD32</f>
        <v>15</v>
      </c>
      <c r="AB32" s="237">
        <f>'English LRFD Working Area'!BE32</f>
        <v>13</v>
      </c>
      <c r="AC32" s="261">
        <f>'English LRFD Working Area'!BF32</f>
        <v>16</v>
      </c>
      <c r="AF32" s="267">
        <f t="shared" si="7"/>
        <v>9.5</v>
      </c>
      <c r="AG32" s="270">
        <f t="shared" si="8"/>
        <v>8</v>
      </c>
      <c r="AH32" s="422">
        <f>'English LRFD Working Area'!BJ32</f>
        <v>4.5</v>
      </c>
      <c r="AI32" s="416">
        <f>'English LRFD Working Area'!BK32</f>
        <v>12.333333333333332</v>
      </c>
      <c r="AJ32" s="401">
        <f>'English LRFD Working Area'!BL32</f>
        <v>13.733333333333334</v>
      </c>
      <c r="AK32" s="401">
        <f>'English LRFD Working Area'!BM32</f>
        <v>13.333333386666666</v>
      </c>
      <c r="AL32" s="401">
        <f>'English LRFD Working Area'!BN32</f>
        <v>12.8</v>
      </c>
      <c r="AM32" s="401">
        <f>'English LRFD Working Area'!BO32</f>
        <v>11.6</v>
      </c>
      <c r="AN32" s="417">
        <f>'English LRFD Working Area'!BP32</f>
        <v>14.399999999999999</v>
      </c>
      <c r="AP32" s="267">
        <f t="shared" si="1"/>
        <v>9.5</v>
      </c>
      <c r="AQ32" s="470">
        <f>'English LRFD Working Area'!BR32</f>
        <v>0.67</v>
      </c>
      <c r="AR32" s="464">
        <f>'English LRFD Working Area'!BS32</f>
        <v>0.67</v>
      </c>
      <c r="AS32" s="464">
        <f>'English LRFD Working Area'!BT32</f>
        <v>0.67</v>
      </c>
      <c r="AT32" s="464">
        <f>'English LRFD Working Area'!BU32</f>
        <v>0.67</v>
      </c>
      <c r="AU32" s="464">
        <f>'English LRFD Working Area'!BV32</f>
        <v>0.67</v>
      </c>
      <c r="AV32" s="471">
        <f>'English LRFD Working Area'!BW32</f>
        <v>0.67</v>
      </c>
      <c r="BG32" s="1"/>
      <c r="BM32" s="70">
        <v>10.166666666666666</v>
      </c>
      <c r="BN32" s="8">
        <v>8.25</v>
      </c>
      <c r="BO32" s="6" t="s">
        <v>42</v>
      </c>
      <c r="BP32" s="9">
        <v>7.5</v>
      </c>
      <c r="BQ32" s="6">
        <v>12</v>
      </c>
      <c r="BR32" s="6">
        <v>3</v>
      </c>
      <c r="BS32" s="7">
        <f t="shared" si="4"/>
        <v>9.75</v>
      </c>
      <c r="BV32" s="637"/>
      <c r="BW32" s="641" t="s">
        <v>499</v>
      </c>
      <c r="BX32" s="638" t="s">
        <v>501</v>
      </c>
      <c r="BY32" s="639" t="s">
        <v>497</v>
      </c>
      <c r="BZ32" s="640" t="s">
        <v>498</v>
      </c>
      <c r="CA32" s="639" t="s">
        <v>17</v>
      </c>
      <c r="CB32" s="640" t="s">
        <v>498</v>
      </c>
      <c r="CJ32" s="637"/>
      <c r="CK32" s="641" t="s">
        <v>499</v>
      </c>
      <c r="CL32" s="638" t="s">
        <v>501</v>
      </c>
    </row>
    <row r="33" spans="2:94" ht="15" thickBot="1" x14ac:dyDescent="0.25">
      <c r="B33" s="35"/>
      <c r="C33" s="57" t="s">
        <v>55</v>
      </c>
      <c r="D33" s="87">
        <f>J104/27</f>
        <v>0.18055555555555555</v>
      </c>
      <c r="E33" s="36" t="s">
        <v>415</v>
      </c>
      <c r="F33" s="36"/>
      <c r="G33" s="88">
        <f>F32*D33</f>
        <v>0.3611111111111111</v>
      </c>
      <c r="H33" t="s">
        <v>416</v>
      </c>
      <c r="L33" s="267">
        <f>'English LRFD Working Area'!C33</f>
        <v>9.75</v>
      </c>
      <c r="M33" s="270">
        <f>'English LRFD Working Area'!P33</f>
        <v>8</v>
      </c>
      <c r="N33" s="378" t="str">
        <f>'English LRFD Working Area'!Q33</f>
        <v># 5</v>
      </c>
      <c r="O33" s="247">
        <f>MIN('English LRFD Working Area'!Y33:Z33)</f>
        <v>7.25</v>
      </c>
      <c r="P33" s="378" t="str">
        <f>'English LRFD Working Area'!R33</f>
        <v># 5</v>
      </c>
      <c r="Q33" s="234">
        <f>MIN(VLOOKUP($P33,$U$76:$V$78,2,FALSE),'English LRFD Working Area'!AC33:AD33)</f>
        <v>6.5</v>
      </c>
      <c r="R33" s="234">
        <f>MIN(VLOOKUP($P33,$U$76:$V$78,2,FALSE),'English LRFD Working Area'!AG33:AH33)</f>
        <v>5.25</v>
      </c>
      <c r="S33" s="234">
        <f>MIN(VLOOKUP($P33,$U$76:$V$78,2,FALSE),'English LRFD Working Area'!AK33:AL33)</f>
        <v>5.5</v>
      </c>
      <c r="T33" s="234">
        <f>MIN(VLOOKUP($P33,$U$76:$V$78,2,FALSE),'English LRFD Working Area'!AO33:AP33)</f>
        <v>6</v>
      </c>
      <c r="U33" s="234">
        <f>MIN(VLOOKUP($P33,$U$76:$V$78,2,FALSE),'English LRFD Working Area'!AS33:AT33)</f>
        <v>6.5</v>
      </c>
      <c r="V33" s="247">
        <f>MIN(VLOOKUP($P33,$U$76:$V$78,2,FALSE),'English LRFD Working Area'!AW33:AX33)</f>
        <v>5</v>
      </c>
      <c r="W33" s="246" t="str">
        <f>'English LRFD Working Area'!AY33</f>
        <v># 4</v>
      </c>
      <c r="X33" s="260">
        <f>'English LRFD Working Area'!BA33</f>
        <v>15</v>
      </c>
      <c r="Y33" s="237">
        <f>'English LRFD Working Area'!BB33</f>
        <v>16</v>
      </c>
      <c r="Z33" s="237">
        <f>'English LRFD Working Area'!BC33</f>
        <v>16</v>
      </c>
      <c r="AA33" s="237">
        <f>'English LRFD Working Area'!BD33</f>
        <v>15</v>
      </c>
      <c r="AB33" s="237">
        <f>'English LRFD Working Area'!BE33</f>
        <v>14</v>
      </c>
      <c r="AC33" s="261">
        <f>'English LRFD Working Area'!BF33</f>
        <v>17</v>
      </c>
      <c r="AF33" s="267">
        <f t="shared" si="7"/>
        <v>9.75</v>
      </c>
      <c r="AG33" s="270">
        <f t="shared" si="8"/>
        <v>8</v>
      </c>
      <c r="AH33" s="422">
        <f>'English LRFD Working Area'!BJ33</f>
        <v>4.5</v>
      </c>
      <c r="AI33" s="416">
        <f>'English LRFD Working Area'!BK33</f>
        <v>12.733333333333334</v>
      </c>
      <c r="AJ33" s="401">
        <f>'English LRFD Working Area'!BL33</f>
        <v>14.133333333333333</v>
      </c>
      <c r="AK33" s="401">
        <f>'English LRFD Working Area'!BM33</f>
        <v>13.733333386666668</v>
      </c>
      <c r="AL33" s="401">
        <f>'English LRFD Working Area'!BN33</f>
        <v>13.200000000000001</v>
      </c>
      <c r="AM33" s="401">
        <f>'English LRFD Working Area'!BO33</f>
        <v>12</v>
      </c>
      <c r="AN33" s="417">
        <f>'English LRFD Working Area'!BP33</f>
        <v>14.8</v>
      </c>
      <c r="AP33" s="267">
        <f t="shared" si="1"/>
        <v>9.75</v>
      </c>
      <c r="AQ33" s="470">
        <f>'English LRFD Working Area'!BR33</f>
        <v>0.67</v>
      </c>
      <c r="AR33" s="464">
        <f>'English LRFD Working Area'!BS33</f>
        <v>0.67</v>
      </c>
      <c r="AS33" s="464">
        <f>'English LRFD Working Area'!BT33</f>
        <v>0.67</v>
      </c>
      <c r="AT33" s="464">
        <f>'English LRFD Working Area'!BU33</f>
        <v>0.67</v>
      </c>
      <c r="AU33" s="464">
        <f>'English LRFD Working Area'!BV33</f>
        <v>0.67</v>
      </c>
      <c r="AV33" s="471">
        <f>'English LRFD Working Area'!BW33</f>
        <v>0.67</v>
      </c>
      <c r="BG33" s="1"/>
      <c r="BH33" t="s">
        <v>7</v>
      </c>
      <c r="BM33" s="70">
        <v>10.583333333333334</v>
      </c>
      <c r="BN33" s="8">
        <v>8.25</v>
      </c>
      <c r="BO33" s="6" t="s">
        <v>42</v>
      </c>
      <c r="BP33" s="9">
        <v>7.25</v>
      </c>
      <c r="BQ33" s="6">
        <v>13</v>
      </c>
      <c r="BR33" s="6">
        <v>4</v>
      </c>
      <c r="BS33" s="7">
        <f t="shared" si="4"/>
        <v>9.75</v>
      </c>
      <c r="BV33" s="639" t="s">
        <v>362</v>
      </c>
      <c r="BW33" s="642" t="s">
        <v>500</v>
      </c>
      <c r="BX33" s="643" t="s">
        <v>500</v>
      </c>
      <c r="BY33" s="574" t="str">
        <f>R73</f>
        <v>SL-5</v>
      </c>
      <c r="BZ33" s="575">
        <v>0</v>
      </c>
      <c r="CA33" s="574" t="str">
        <f>BV10</f>
        <v># 5</v>
      </c>
      <c r="CB33" s="575">
        <v>0</v>
      </c>
      <c r="CJ33" s="639" t="s">
        <v>362</v>
      </c>
      <c r="CK33" s="642" t="s">
        <v>500</v>
      </c>
      <c r="CL33" s="643" t="s">
        <v>500</v>
      </c>
    </row>
    <row r="34" spans="2:94" ht="14.25" x14ac:dyDescent="0.2">
      <c r="E34" s="89" t="s">
        <v>55</v>
      </c>
      <c r="F34" s="90">
        <f>G23+G30+G33</f>
        <v>528.41979704698224</v>
      </c>
      <c r="G34" s="91" t="s">
        <v>414</v>
      </c>
      <c r="L34" s="267">
        <f>'English LRFD Working Area'!C34</f>
        <v>10</v>
      </c>
      <c r="M34" s="270">
        <f>'English LRFD Working Area'!P34</f>
        <v>8.25</v>
      </c>
      <c r="N34" s="378" t="str">
        <f>'English LRFD Working Area'!Q34</f>
        <v># 5</v>
      </c>
      <c r="O34" s="247">
        <f>MIN('English LRFD Working Area'!Y34:Z34)</f>
        <v>7.25</v>
      </c>
      <c r="P34" s="378" t="str">
        <f>'English LRFD Working Area'!R34</f>
        <v># 5</v>
      </c>
      <c r="Q34" s="234">
        <f>MIN(VLOOKUP($P34,$U$76:$V$78,2,FALSE),'English LRFD Working Area'!AC34:AD34)</f>
        <v>6.5</v>
      </c>
      <c r="R34" s="234">
        <f>MIN(VLOOKUP($P34,$U$76:$V$78,2,FALSE),'English LRFD Working Area'!AG34:AH34)</f>
        <v>5.25</v>
      </c>
      <c r="S34" s="234">
        <f>MIN(VLOOKUP($P34,$U$76:$V$78,2,FALSE),'English LRFD Working Area'!AK34:AL34)</f>
        <v>5.5</v>
      </c>
      <c r="T34" s="234">
        <f>MIN(VLOOKUP($P34,$U$76:$V$78,2,FALSE),'English LRFD Working Area'!AO34:AP34)</f>
        <v>6</v>
      </c>
      <c r="U34" s="234">
        <f>MIN(VLOOKUP($P34,$U$76:$V$78,2,FALSE),'English LRFD Working Area'!AS34:AT34)</f>
        <v>6.5</v>
      </c>
      <c r="V34" s="247">
        <f>MIN(VLOOKUP($P34,$U$76:$V$78,2,FALSE),'English LRFD Working Area'!AW34:AX34)</f>
        <v>5</v>
      </c>
      <c r="W34" s="246" t="str">
        <f>'English LRFD Working Area'!AY34</f>
        <v># 4</v>
      </c>
      <c r="X34" s="260">
        <f>'English LRFD Working Area'!BA34</f>
        <v>15</v>
      </c>
      <c r="Y34" s="237">
        <f>'English LRFD Working Area'!BB34</f>
        <v>17</v>
      </c>
      <c r="Z34" s="237">
        <f>'English LRFD Working Area'!BC34</f>
        <v>16</v>
      </c>
      <c r="AA34" s="237">
        <f>'English LRFD Working Area'!BD34</f>
        <v>16</v>
      </c>
      <c r="AB34" s="237">
        <f>'English LRFD Working Area'!BE34</f>
        <v>14</v>
      </c>
      <c r="AC34" s="261">
        <f>'English LRFD Working Area'!BF34</f>
        <v>17</v>
      </c>
      <c r="AF34" s="267">
        <f t="shared" si="7"/>
        <v>10</v>
      </c>
      <c r="AG34" s="270">
        <f t="shared" si="8"/>
        <v>8.25</v>
      </c>
      <c r="AH34" s="422">
        <f>'English LRFD Working Area'!BJ34</f>
        <v>4.75</v>
      </c>
      <c r="AI34" s="416">
        <f>'English LRFD Working Area'!BK34</f>
        <v>12.70967741935484</v>
      </c>
      <c r="AJ34" s="401">
        <f>'English LRFD Working Area'!BL34</f>
        <v>14.06451612903226</v>
      </c>
      <c r="AK34" s="401">
        <f>'English LRFD Working Area'!BM34</f>
        <v>13.677419406451612</v>
      </c>
      <c r="AL34" s="401">
        <f>'English LRFD Working Area'!BN34</f>
        <v>13.161290322580644</v>
      </c>
      <c r="AM34" s="401">
        <f>'English LRFD Working Area'!BO34</f>
        <v>12</v>
      </c>
      <c r="AN34" s="417">
        <f>'English LRFD Working Area'!BP34</f>
        <v>14.70967741935484</v>
      </c>
      <c r="AP34" s="267">
        <f t="shared" si="1"/>
        <v>10</v>
      </c>
      <c r="AQ34" s="470">
        <f>'English LRFD Working Area'!BR34</f>
        <v>0.67</v>
      </c>
      <c r="AR34" s="464">
        <f>'English LRFD Working Area'!BS34</f>
        <v>0.67</v>
      </c>
      <c r="AS34" s="464">
        <f>'English LRFD Working Area'!BT34</f>
        <v>0.67</v>
      </c>
      <c r="AT34" s="464">
        <f>'English LRFD Working Area'!BU34</f>
        <v>0.67</v>
      </c>
      <c r="AU34" s="464">
        <f>'English LRFD Working Area'!BV34</f>
        <v>0.67</v>
      </c>
      <c r="AV34" s="471">
        <f>'English LRFD Working Area'!BW34</f>
        <v>0.67</v>
      </c>
      <c r="BG34" s="1"/>
      <c r="BH34" t="s">
        <v>13</v>
      </c>
      <c r="BM34" s="70">
        <v>11.083333333333334</v>
      </c>
      <c r="BN34" s="8">
        <v>8.5</v>
      </c>
      <c r="BO34" s="6" t="s">
        <v>42</v>
      </c>
      <c r="BP34" s="9">
        <v>7.25</v>
      </c>
      <c r="BQ34" s="6">
        <v>14</v>
      </c>
      <c r="BR34" s="6">
        <v>4</v>
      </c>
      <c r="BS34" s="7">
        <f t="shared" si="4"/>
        <v>10</v>
      </c>
      <c r="BV34" s="569" t="str">
        <f t="shared" ref="BV34:BV42" si="12">C60</f>
        <v>MT-28</v>
      </c>
      <c r="BW34" s="570">
        <v>3</v>
      </c>
      <c r="BX34" s="575">
        <f t="shared" ref="BX34:BX42" si="13">BW34+$BZ$38+$CB$38</f>
        <v>9</v>
      </c>
      <c r="BY34" s="576" t="str">
        <f>R74</f>
        <v>SL-6</v>
      </c>
      <c r="BZ34" s="577">
        <v>6</v>
      </c>
      <c r="CA34" s="576" t="str">
        <f>CJ10</f>
        <v># 6</v>
      </c>
      <c r="CB34" s="577">
        <v>14</v>
      </c>
      <c r="CJ34" s="569" t="str">
        <f t="shared" ref="CJ34:CJ42" si="14">C60</f>
        <v>MT-28</v>
      </c>
      <c r="CK34" s="570">
        <v>3</v>
      </c>
      <c r="CL34" s="575">
        <f t="shared" ref="CL34:CL42" si="15">CK34+$CN$38+$CP$38</f>
        <v>9</v>
      </c>
    </row>
    <row r="35" spans="2:94" ht="13.5" thickBot="1" x14ac:dyDescent="0.25">
      <c r="E35" s="92" t="s">
        <v>56</v>
      </c>
      <c r="F35" s="93">
        <f>G24+G26+G29+G32</f>
        <v>97078.902001861192</v>
      </c>
      <c r="G35" s="94" t="s">
        <v>148</v>
      </c>
      <c r="L35" s="267">
        <f>'English LRFD Working Area'!C35</f>
        <v>10.25</v>
      </c>
      <c r="M35" s="270">
        <f>'English LRFD Working Area'!P35</f>
        <v>8.25</v>
      </c>
      <c r="N35" s="378" t="str">
        <f>'English LRFD Working Area'!Q35</f>
        <v># 5</v>
      </c>
      <c r="O35" s="247">
        <f>MIN('English LRFD Working Area'!Y35:Z35)</f>
        <v>7.25</v>
      </c>
      <c r="P35" s="378" t="str">
        <f>'English LRFD Working Area'!R35</f>
        <v># 5</v>
      </c>
      <c r="Q35" s="234">
        <f>MIN(VLOOKUP($P35,$U$76:$V$78,2,FALSE),'English LRFD Working Area'!AC35:AD35)</f>
        <v>6.25</v>
      </c>
      <c r="R35" s="234">
        <f>MIN(VLOOKUP($P35,$U$76:$V$78,2,FALSE),'English LRFD Working Area'!AG35:AH35)</f>
        <v>5</v>
      </c>
      <c r="S35" s="234">
        <f>MIN(VLOOKUP($P35,$U$76:$V$78,2,FALSE),'English LRFD Working Area'!AK35:AL35)</f>
        <v>5.25</v>
      </c>
      <c r="T35" s="234">
        <f>MIN(VLOOKUP($P35,$U$76:$V$78,2,FALSE),'English LRFD Working Area'!AO35:AP35)</f>
        <v>5.75</v>
      </c>
      <c r="U35" s="234">
        <f>MIN(VLOOKUP($P35,$U$76:$V$78,2,FALSE),'English LRFD Working Area'!AS35:AT35)</f>
        <v>6.25</v>
      </c>
      <c r="V35" s="247">
        <f>MIN(VLOOKUP($P35,$U$76:$V$78,2,FALSE),'English LRFD Working Area'!AW35:AX35)</f>
        <v>4.75</v>
      </c>
      <c r="W35" s="246" t="str">
        <f>'English LRFD Working Area'!AY35</f>
        <v># 4</v>
      </c>
      <c r="X35" s="260">
        <f>'English LRFD Working Area'!BA35</f>
        <v>16</v>
      </c>
      <c r="Y35" s="237">
        <f>'English LRFD Working Area'!BB35</f>
        <v>17</v>
      </c>
      <c r="Z35" s="237">
        <f>'English LRFD Working Area'!BC35</f>
        <v>17</v>
      </c>
      <c r="AA35" s="237">
        <f>'English LRFD Working Area'!BD35</f>
        <v>16</v>
      </c>
      <c r="AB35" s="237">
        <f>'English LRFD Working Area'!BE35</f>
        <v>15</v>
      </c>
      <c r="AC35" s="261">
        <f>'English LRFD Working Area'!BF35</f>
        <v>18</v>
      </c>
      <c r="AF35" s="267">
        <f t="shared" si="7"/>
        <v>10.25</v>
      </c>
      <c r="AG35" s="270">
        <f t="shared" si="8"/>
        <v>8.25</v>
      </c>
      <c r="AH35" s="422">
        <f>'English LRFD Working Area'!BJ35</f>
        <v>4.75</v>
      </c>
      <c r="AI35" s="416">
        <f>'English LRFD Working Area'!BK35</f>
        <v>13.096774193548388</v>
      </c>
      <c r="AJ35" s="401">
        <f>'English LRFD Working Area'!BL35</f>
        <v>14.451612903225808</v>
      </c>
      <c r="AK35" s="401">
        <f>'English LRFD Working Area'!BM35</f>
        <v>14.064516180645162</v>
      </c>
      <c r="AL35" s="401">
        <f>'English LRFD Working Area'!BN35</f>
        <v>13.548387096774196</v>
      </c>
      <c r="AM35" s="401">
        <f>'English LRFD Working Area'!BO35</f>
        <v>12.387096774193548</v>
      </c>
      <c r="AN35" s="417">
        <f>'English LRFD Working Area'!BP35</f>
        <v>15.096774193548388</v>
      </c>
      <c r="AP35" s="267">
        <f t="shared" si="1"/>
        <v>10.25</v>
      </c>
      <c r="AQ35" s="470">
        <f>'English LRFD Working Area'!BR35</f>
        <v>0.67</v>
      </c>
      <c r="AR35" s="464">
        <f>'English LRFD Working Area'!BS35</f>
        <v>0.67</v>
      </c>
      <c r="AS35" s="464">
        <f>'English LRFD Working Area'!BT35</f>
        <v>0.67</v>
      </c>
      <c r="AT35" s="464">
        <f>'English LRFD Working Area'!BU35</f>
        <v>0.67</v>
      </c>
      <c r="AU35" s="464">
        <f>'English LRFD Working Area'!BV35</f>
        <v>0.67</v>
      </c>
      <c r="AV35" s="471">
        <f>'English LRFD Working Area'!BW35</f>
        <v>0.67</v>
      </c>
      <c r="BG35" s="1"/>
      <c r="BH35" t="s">
        <v>103</v>
      </c>
      <c r="BM35" s="70">
        <v>11.25</v>
      </c>
      <c r="BN35" s="8">
        <v>8.5</v>
      </c>
      <c r="BO35" s="6" t="s">
        <v>42</v>
      </c>
      <c r="BP35" s="9">
        <v>7</v>
      </c>
      <c r="BQ35" s="6">
        <v>15</v>
      </c>
      <c r="BR35" s="6">
        <v>4</v>
      </c>
      <c r="BS35" s="7">
        <f t="shared" si="4"/>
        <v>10</v>
      </c>
      <c r="BV35" s="571" t="str">
        <f t="shared" si="12"/>
        <v>A</v>
      </c>
      <c r="BW35" s="513">
        <v>4</v>
      </c>
      <c r="BX35" s="577">
        <f t="shared" si="13"/>
        <v>10</v>
      </c>
      <c r="BY35" s="578" t="str">
        <f>R75</f>
        <v>SL-7</v>
      </c>
      <c r="BZ35" s="579">
        <v>6</v>
      </c>
      <c r="CA35" s="578"/>
      <c r="CB35" s="579"/>
      <c r="CJ35" s="571" t="str">
        <f t="shared" si="14"/>
        <v>A</v>
      </c>
      <c r="CK35" s="513">
        <v>4</v>
      </c>
      <c r="CL35" s="577">
        <f t="shared" si="15"/>
        <v>10</v>
      </c>
      <c r="CM35" s="636" t="s">
        <v>568</v>
      </c>
      <c r="CN35" s="103"/>
      <c r="CO35" s="103"/>
      <c r="CP35" s="280"/>
    </row>
    <row r="36" spans="2:94" ht="13.5" thickBot="1" x14ac:dyDescent="0.25">
      <c r="B36" t="s">
        <v>411</v>
      </c>
      <c r="E36" s="541" t="str">
        <f>D7</f>
        <v>MTS-54</v>
      </c>
      <c r="F36" s="503">
        <f>(G22-F26*1.5)*(E22+1)</f>
        <v>1788</v>
      </c>
      <c r="G36" s="542" t="s">
        <v>488</v>
      </c>
      <c r="L36" s="267">
        <f>'English LRFD Working Area'!C36</f>
        <v>10.5</v>
      </c>
      <c r="M36" s="270">
        <f>'English LRFD Working Area'!P36</f>
        <v>8.25</v>
      </c>
      <c r="N36" s="378" t="str">
        <f>'English LRFD Working Area'!Q36</f>
        <v># 5</v>
      </c>
      <c r="O36" s="247">
        <f>MIN('English LRFD Working Area'!Y36:Z36)</f>
        <v>7</v>
      </c>
      <c r="P36" s="378" t="str">
        <f>'English LRFD Working Area'!R36</f>
        <v># 5</v>
      </c>
      <c r="Q36" s="234">
        <f>MIN(VLOOKUP($P36,$U$76:$V$78,2,FALSE),'English LRFD Working Area'!AC36:AD36)</f>
        <v>6</v>
      </c>
      <c r="R36" s="234">
        <f>MIN(VLOOKUP($P36,$U$76:$V$78,2,FALSE),'English LRFD Working Area'!AG36:AH36)</f>
        <v>5</v>
      </c>
      <c r="S36" s="234">
        <f>MIN(VLOOKUP($P36,$U$76:$V$78,2,FALSE),'English LRFD Working Area'!AK36:AL36)</f>
        <v>5</v>
      </c>
      <c r="T36" s="234">
        <f>MIN(VLOOKUP($P36,$U$76:$V$78,2,FALSE),'English LRFD Working Area'!AO36:AP36)</f>
        <v>5.5</v>
      </c>
      <c r="U36" s="234">
        <f>MIN(VLOOKUP($P36,$U$76:$V$78,2,FALSE),'English LRFD Working Area'!AS36:AT36)</f>
        <v>6.25</v>
      </c>
      <c r="V36" s="247">
        <f>MIN(VLOOKUP($P36,$U$76:$V$78,2,FALSE),'English LRFD Working Area'!AW36:AX36)</f>
        <v>4.75</v>
      </c>
      <c r="W36" s="246" t="str">
        <f>'English LRFD Working Area'!AY36</f>
        <v># 4</v>
      </c>
      <c r="X36" s="260">
        <f>'English LRFD Working Area'!BA36</f>
        <v>17</v>
      </c>
      <c r="Y36" s="237">
        <f>'English LRFD Working Area'!BB36</f>
        <v>18</v>
      </c>
      <c r="Z36" s="237">
        <f>'English LRFD Working Area'!BC36</f>
        <v>18</v>
      </c>
      <c r="AA36" s="237">
        <f>'English LRFD Working Area'!BD36</f>
        <v>17</v>
      </c>
      <c r="AB36" s="237">
        <f>'English LRFD Working Area'!BE36</f>
        <v>16</v>
      </c>
      <c r="AC36" s="261">
        <f>'English LRFD Working Area'!BF36</f>
        <v>19</v>
      </c>
      <c r="AF36" s="267">
        <f t="shared" si="7"/>
        <v>10.5</v>
      </c>
      <c r="AG36" s="270">
        <f t="shared" si="8"/>
        <v>8.25</v>
      </c>
      <c r="AH36" s="422">
        <f>'English LRFD Working Area'!BJ36</f>
        <v>4.75</v>
      </c>
      <c r="AI36" s="416">
        <f>'English LRFD Working Area'!BK36</f>
        <v>13.483870967741936</v>
      </c>
      <c r="AJ36" s="401">
        <f>'English LRFD Working Area'!BL36</f>
        <v>14.838709677419356</v>
      </c>
      <c r="AK36" s="401">
        <f>'English LRFD Working Area'!BM36</f>
        <v>14.45161295483871</v>
      </c>
      <c r="AL36" s="401">
        <f>'English LRFD Working Area'!BN36</f>
        <v>13.935483870967744</v>
      </c>
      <c r="AM36" s="401">
        <f>'English LRFD Working Area'!BO36</f>
        <v>12.774193548387096</v>
      </c>
      <c r="AN36" s="417">
        <f>'English LRFD Working Area'!BP36</f>
        <v>15.483870967741936</v>
      </c>
      <c r="AP36" s="267">
        <f t="shared" si="1"/>
        <v>10.5</v>
      </c>
      <c r="AQ36" s="470">
        <f>'English LRFD Working Area'!BR36</f>
        <v>0.67</v>
      </c>
      <c r="AR36" s="464">
        <f>'English LRFD Working Area'!BS36</f>
        <v>0.67</v>
      </c>
      <c r="AS36" s="464">
        <f>'English LRFD Working Area'!BT36</f>
        <v>0.67</v>
      </c>
      <c r="AT36" s="464">
        <f>'English LRFD Working Area'!BU36</f>
        <v>0.67</v>
      </c>
      <c r="AU36" s="464">
        <f>'English LRFD Working Area'!BV36</f>
        <v>0.67</v>
      </c>
      <c r="AV36" s="471">
        <f>'English LRFD Working Area'!BW36</f>
        <v>0.67</v>
      </c>
      <c r="BG36" s="1"/>
      <c r="BH36" t="s">
        <v>107</v>
      </c>
      <c r="BM36" s="70">
        <v>11.583333333333334</v>
      </c>
      <c r="BN36" s="8">
        <v>8.75</v>
      </c>
      <c r="BO36" s="6" t="s">
        <v>42</v>
      </c>
      <c r="BP36" s="9">
        <v>7.25</v>
      </c>
      <c r="BQ36" s="6">
        <v>15</v>
      </c>
      <c r="BR36" s="6">
        <v>4</v>
      </c>
      <c r="BS36" s="7">
        <f t="shared" si="4"/>
        <v>10.25</v>
      </c>
      <c r="BV36" s="571" t="str">
        <f t="shared" si="12"/>
        <v>IV</v>
      </c>
      <c r="BW36" s="513">
        <v>5</v>
      </c>
      <c r="BX36" s="577">
        <f t="shared" si="13"/>
        <v>11</v>
      </c>
      <c r="BY36" s="637" t="s">
        <v>502</v>
      </c>
      <c r="BZ36" s="638" t="s">
        <v>502</v>
      </c>
      <c r="CA36" s="637" t="s">
        <v>502</v>
      </c>
      <c r="CB36" s="638" t="s">
        <v>502</v>
      </c>
      <c r="CJ36" s="571" t="str">
        <f t="shared" si="14"/>
        <v>IV</v>
      </c>
      <c r="CK36" s="513">
        <v>5</v>
      </c>
      <c r="CL36" s="577">
        <f t="shared" si="15"/>
        <v>11</v>
      </c>
      <c r="CM36" s="637" t="s">
        <v>502</v>
      </c>
      <c r="CN36" s="638" t="s">
        <v>502</v>
      </c>
      <c r="CO36" s="637" t="s">
        <v>502</v>
      </c>
      <c r="CP36" s="638" t="s">
        <v>502</v>
      </c>
    </row>
    <row r="37" spans="2:94" x14ac:dyDescent="0.2">
      <c r="B37" t="s">
        <v>412</v>
      </c>
      <c r="L37" s="267">
        <f>'English LRFD Working Area'!C37</f>
        <v>10.75</v>
      </c>
      <c r="M37" s="270">
        <f>'English LRFD Working Area'!P37</f>
        <v>8.25</v>
      </c>
      <c r="N37" s="378" t="str">
        <f>'English LRFD Working Area'!Q37</f>
        <v># 6</v>
      </c>
      <c r="O37" s="247">
        <f>MIN('English LRFD Working Area'!Y37:Z37)</f>
        <v>9.5</v>
      </c>
      <c r="P37" s="378" t="str">
        <f>'English LRFD Working Area'!R37</f>
        <v># 6</v>
      </c>
      <c r="Q37" s="234">
        <f>MIN(VLOOKUP($P37,$U$76:$V$78,2,FALSE),'English LRFD Working Area'!AC37:AD37)</f>
        <v>7</v>
      </c>
      <c r="R37" s="234">
        <f>MIN(VLOOKUP($P37,$U$76:$V$78,2,FALSE),'English LRFD Working Area'!AG37:AH37)</f>
        <v>6</v>
      </c>
      <c r="S37" s="234">
        <f>MIN(VLOOKUP($P37,$U$76:$V$78,2,FALSE),'English LRFD Working Area'!AK37:AL37)</f>
        <v>6</v>
      </c>
      <c r="T37" s="234">
        <f>MIN(VLOOKUP($P37,$U$76:$V$78,2,FALSE),'English LRFD Working Area'!AO37:AP37)</f>
        <v>6.75</v>
      </c>
      <c r="U37" s="234">
        <f>MIN(VLOOKUP($P37,$U$76:$V$78,2,FALSE),'English LRFD Working Area'!AS37:AT37)</f>
        <v>7.25</v>
      </c>
      <c r="V37" s="247">
        <f>MIN(VLOOKUP($P37,$U$76:$V$78,2,FALSE),'English LRFD Working Area'!AW37:AX37)</f>
        <v>5.5</v>
      </c>
      <c r="W37" s="246" t="str">
        <f>'English LRFD Working Area'!AY37</f>
        <v># 5</v>
      </c>
      <c r="X37" s="260">
        <f>'English LRFD Working Area'!BA37</f>
        <v>12</v>
      </c>
      <c r="Y37" s="237">
        <f>'English LRFD Working Area'!BB37</f>
        <v>13</v>
      </c>
      <c r="Z37" s="237">
        <f>'English LRFD Working Area'!BC37</f>
        <v>13</v>
      </c>
      <c r="AA37" s="237">
        <f>'English LRFD Working Area'!BD37</f>
        <v>12</v>
      </c>
      <c r="AB37" s="237">
        <f>'English LRFD Working Area'!BE37</f>
        <v>11</v>
      </c>
      <c r="AC37" s="261">
        <f>'English LRFD Working Area'!BF37</f>
        <v>14</v>
      </c>
      <c r="AF37" s="267">
        <f t="shared" si="7"/>
        <v>10.75</v>
      </c>
      <c r="AG37" s="270">
        <f t="shared" si="8"/>
        <v>8.25</v>
      </c>
      <c r="AH37" s="422">
        <f>'English LRFD Working Area'!BJ37</f>
        <v>4.75</v>
      </c>
      <c r="AI37" s="416">
        <f>'English LRFD Working Area'!BK37</f>
        <v>13.870967741935484</v>
      </c>
      <c r="AJ37" s="401">
        <f>'English LRFD Working Area'!BL37</f>
        <v>15.225806451612904</v>
      </c>
      <c r="AK37" s="401">
        <f>'English LRFD Working Area'!BM37</f>
        <v>14.838709729032258</v>
      </c>
      <c r="AL37" s="401">
        <f>'English LRFD Working Area'!BN37</f>
        <v>14.322580645161292</v>
      </c>
      <c r="AM37" s="401">
        <f>'English LRFD Working Area'!BO37</f>
        <v>13.161290322580644</v>
      </c>
      <c r="AN37" s="417">
        <f>'English LRFD Working Area'!BP37</f>
        <v>15.870967741935484</v>
      </c>
      <c r="AP37" s="267">
        <f t="shared" si="1"/>
        <v>10.75</v>
      </c>
      <c r="AQ37" s="470">
        <f>'English LRFD Working Area'!BR37</f>
        <v>0.67</v>
      </c>
      <c r="AR37" s="464">
        <f>'English LRFD Working Area'!BS37</f>
        <v>0.67</v>
      </c>
      <c r="AS37" s="464">
        <f>'English LRFD Working Area'!BT37</f>
        <v>0.67</v>
      </c>
      <c r="AT37" s="464">
        <f>'English LRFD Working Area'!BU37</f>
        <v>0.67</v>
      </c>
      <c r="AU37" s="464">
        <f>'English LRFD Working Area'!BV37</f>
        <v>0.67</v>
      </c>
      <c r="AV37" s="471">
        <f>'English LRFD Working Area'!BW37</f>
        <v>0.67</v>
      </c>
      <c r="BG37" s="1"/>
      <c r="BH37" t="s">
        <v>104</v>
      </c>
      <c r="BM37" s="70">
        <v>11.833333333333334</v>
      </c>
      <c r="BN37" s="8">
        <v>8.75</v>
      </c>
      <c r="BO37" s="6" t="s">
        <v>42</v>
      </c>
      <c r="BP37" s="9">
        <v>7</v>
      </c>
      <c r="BQ37" s="6">
        <v>15</v>
      </c>
      <c r="BR37" s="6">
        <v>4</v>
      </c>
      <c r="BS37" s="7">
        <f t="shared" si="4"/>
        <v>10.25</v>
      </c>
      <c r="BV37" s="571" t="str">
        <f t="shared" si="12"/>
        <v>M72</v>
      </c>
      <c r="BW37" s="513">
        <v>6</v>
      </c>
      <c r="BX37" s="577">
        <f>BW37+$BZ$38+$CB$38</f>
        <v>12</v>
      </c>
      <c r="BY37" s="639" t="s">
        <v>77</v>
      </c>
      <c r="BZ37" s="640" t="s">
        <v>498</v>
      </c>
      <c r="CA37" s="639" t="s">
        <v>113</v>
      </c>
      <c r="CB37" s="640" t="s">
        <v>498</v>
      </c>
      <c r="CJ37" s="571" t="str">
        <f t="shared" si="14"/>
        <v>M72</v>
      </c>
      <c r="CK37" s="513">
        <v>6</v>
      </c>
      <c r="CL37" s="577">
        <f t="shared" si="15"/>
        <v>12</v>
      </c>
      <c r="CM37" s="639" t="s">
        <v>77</v>
      </c>
      <c r="CN37" s="640" t="s">
        <v>498</v>
      </c>
      <c r="CO37" s="639" t="s">
        <v>113</v>
      </c>
      <c r="CP37" s="640" t="s">
        <v>498</v>
      </c>
    </row>
    <row r="38" spans="2:94" x14ac:dyDescent="0.2">
      <c r="B38" t="s">
        <v>413</v>
      </c>
      <c r="L38" s="267">
        <f>'English LRFD Working Area'!C38</f>
        <v>11</v>
      </c>
      <c r="M38" s="270">
        <f>'English LRFD Working Area'!P38</f>
        <v>9</v>
      </c>
      <c r="N38" s="378" t="str">
        <f>'English LRFD Working Area'!Q38</f>
        <v># 6</v>
      </c>
      <c r="O38" s="247">
        <f>MIN('English LRFD Working Area'!Y38:Z38)</f>
        <v>10</v>
      </c>
      <c r="P38" s="378" t="str">
        <f>'English LRFD Working Area'!R38</f>
        <v># 6</v>
      </c>
      <c r="Q38" s="234">
        <f>MIN(VLOOKUP($P38,$U$76:$V$78,2,FALSE),'English LRFD Working Area'!AC38:AD38)</f>
        <v>7.75</v>
      </c>
      <c r="R38" s="234">
        <f>MIN(VLOOKUP($P38,$U$76:$V$78,2,FALSE),'English LRFD Working Area'!AG38:AH38)</f>
        <v>6.5</v>
      </c>
      <c r="S38" s="234">
        <f>MIN(VLOOKUP($P38,$U$76:$V$78,2,FALSE),'English LRFD Working Area'!AK38:AL38)</f>
        <v>6.75</v>
      </c>
      <c r="T38" s="234">
        <f>MIN(VLOOKUP($P38,$U$76:$V$78,2,FALSE),'English LRFD Working Area'!AO38:AP38)</f>
        <v>7.25</v>
      </c>
      <c r="U38" s="234">
        <f>MIN(VLOOKUP($P38,$U$76:$V$78,2,FALSE),'English LRFD Working Area'!AS38:AT38)</f>
        <v>8</v>
      </c>
      <c r="V38" s="247">
        <f>MIN(VLOOKUP($P38,$U$76:$V$78,2,FALSE),'English LRFD Working Area'!AW38:AX38)</f>
        <v>6.25</v>
      </c>
      <c r="W38" s="246" t="str">
        <f>'English LRFD Working Area'!AY38</f>
        <v># 5</v>
      </c>
      <c r="X38" s="260">
        <f>'English LRFD Working Area'!BA38</f>
        <v>11</v>
      </c>
      <c r="Y38" s="237">
        <f>'English LRFD Working Area'!BB38</f>
        <v>12</v>
      </c>
      <c r="Z38" s="237">
        <f>'English LRFD Working Area'!BC38</f>
        <v>12</v>
      </c>
      <c r="AA38" s="237">
        <f>'English LRFD Working Area'!BD38</f>
        <v>12</v>
      </c>
      <c r="AB38" s="237">
        <f>'English LRFD Working Area'!BE38</f>
        <v>11</v>
      </c>
      <c r="AC38" s="261">
        <f>'English LRFD Working Area'!BF38</f>
        <v>13</v>
      </c>
      <c r="AF38" s="267">
        <f t="shared" si="7"/>
        <v>11</v>
      </c>
      <c r="AG38" s="270">
        <f t="shared" si="8"/>
        <v>9</v>
      </c>
      <c r="AH38" s="422">
        <f>'English LRFD Working Area'!BJ38</f>
        <v>5.5</v>
      </c>
      <c r="AI38" s="416">
        <f>'English LRFD Working Area'!BK38</f>
        <v>13.000000000000002</v>
      </c>
      <c r="AJ38" s="401">
        <f>'English LRFD Working Area'!BL38</f>
        <v>14.235294117647058</v>
      </c>
      <c r="AK38" s="401">
        <f>'English LRFD Working Area'!BM38</f>
        <v>13.882352988235294</v>
      </c>
      <c r="AL38" s="401">
        <f>'English LRFD Working Area'!BN38</f>
        <v>13.411764705882353</v>
      </c>
      <c r="AM38" s="401">
        <f>'English LRFD Working Area'!BO38</f>
        <v>12.352941176470587</v>
      </c>
      <c r="AN38" s="417">
        <f>'English LRFD Working Area'!BP38</f>
        <v>14.823529411764707</v>
      </c>
      <c r="AP38" s="267">
        <f t="shared" si="1"/>
        <v>11</v>
      </c>
      <c r="AQ38" s="470">
        <f>'English LRFD Working Area'!BR38</f>
        <v>0.67</v>
      </c>
      <c r="AR38" s="464">
        <f>'English LRFD Working Area'!BS38</f>
        <v>0.67</v>
      </c>
      <c r="AS38" s="464">
        <f>'English LRFD Working Area'!BT38</f>
        <v>0.67</v>
      </c>
      <c r="AT38" s="464">
        <f>'English LRFD Working Area'!BU38</f>
        <v>0.67</v>
      </c>
      <c r="AU38" s="464">
        <f>'English LRFD Working Area'!BV38</f>
        <v>0.67</v>
      </c>
      <c r="AV38" s="471">
        <f>'English LRFD Working Area'!BW38</f>
        <v>0.67</v>
      </c>
      <c r="BG38" s="1"/>
      <c r="BH38" t="s">
        <v>105</v>
      </c>
      <c r="BM38" s="70">
        <v>12</v>
      </c>
      <c r="BN38" s="8">
        <v>9</v>
      </c>
      <c r="BO38" s="6" t="s">
        <v>42</v>
      </c>
      <c r="BP38" s="9">
        <v>7.25</v>
      </c>
      <c r="BQ38" s="6">
        <v>15</v>
      </c>
      <c r="BR38" s="6">
        <v>4</v>
      </c>
      <c r="BS38" s="7">
        <f t="shared" si="4"/>
        <v>10.5</v>
      </c>
      <c r="BV38" s="571" t="str">
        <f t="shared" si="12"/>
        <v>MTS-36</v>
      </c>
      <c r="BW38" s="513">
        <v>7</v>
      </c>
      <c r="BX38" s="577">
        <f t="shared" si="13"/>
        <v>13</v>
      </c>
      <c r="BY38" s="567" t="str">
        <f>D10</f>
        <v>SL-7</v>
      </c>
      <c r="BZ38" s="568">
        <f>VLOOKUP(BY38,$BY$33:$BZ$35,2,FALSE)</f>
        <v>6</v>
      </c>
      <c r="CA38" s="567" t="str">
        <f>D16</f>
        <v># 5</v>
      </c>
      <c r="CB38" s="568">
        <f>VLOOKUP(CA38,$CA$33:$CB$34,2,FALSE)</f>
        <v>0</v>
      </c>
      <c r="CJ38" s="571" t="str">
        <f t="shared" si="14"/>
        <v>MTS-36</v>
      </c>
      <c r="CK38" s="513">
        <v>7</v>
      </c>
      <c r="CL38" s="577">
        <f t="shared" si="15"/>
        <v>13</v>
      </c>
      <c r="CM38" s="567" t="str">
        <f>'Custom Design'!F7</f>
        <v>SL-6</v>
      </c>
      <c r="CN38" s="568">
        <f>VLOOKUP(CM38,$BY$33:$BZ$35,2,FALSE)</f>
        <v>6</v>
      </c>
      <c r="CO38" s="635" t="str">
        <f>'Custom Design'!D33</f>
        <v># 5</v>
      </c>
      <c r="CP38" s="568">
        <f>VLOOKUP(CO38,$CA$33:$CB$34,2,FALSE)</f>
        <v>0</v>
      </c>
    </row>
    <row r="39" spans="2:94" ht="13.5" thickBot="1" x14ac:dyDescent="0.25">
      <c r="L39" s="267">
        <f>'English LRFD Working Area'!C39</f>
        <v>11.25</v>
      </c>
      <c r="M39" s="270">
        <f>'English LRFD Working Area'!P39</f>
        <v>9</v>
      </c>
      <c r="N39" s="378" t="str">
        <f>'English LRFD Working Area'!Q39</f>
        <v># 6</v>
      </c>
      <c r="O39" s="247">
        <f>MIN('English LRFD Working Area'!Y39:Z39)</f>
        <v>9.75</v>
      </c>
      <c r="P39" s="378" t="str">
        <f>'English LRFD Working Area'!R39</f>
        <v># 6</v>
      </c>
      <c r="Q39" s="234">
        <f>MIN(VLOOKUP($P39,$U$76:$V$78,2,FALSE),'English LRFD Working Area'!AC39:AD39)</f>
        <v>7.5</v>
      </c>
      <c r="R39" s="234">
        <f>MIN(VLOOKUP($P39,$U$76:$V$78,2,FALSE),'English LRFD Working Area'!AG39:AH39)</f>
        <v>6.25</v>
      </c>
      <c r="S39" s="234">
        <f>MIN(VLOOKUP($P39,$U$76:$V$78,2,FALSE),'English LRFD Working Area'!AK39:AL39)</f>
        <v>6.5</v>
      </c>
      <c r="T39" s="234">
        <f>MIN(VLOOKUP($P39,$U$76:$V$78,2,FALSE),'English LRFD Working Area'!AO39:AP39)</f>
        <v>7</v>
      </c>
      <c r="U39" s="234">
        <f>MIN(VLOOKUP($P39,$U$76:$V$78,2,FALSE),'English LRFD Working Area'!AS39:AT39)</f>
        <v>7.75</v>
      </c>
      <c r="V39" s="247">
        <f>MIN(VLOOKUP($P39,$U$76:$V$78,2,FALSE),'English LRFD Working Area'!AW39:AX39)</f>
        <v>6</v>
      </c>
      <c r="W39" s="246" t="str">
        <f>'English LRFD Working Area'!AY39</f>
        <v># 5</v>
      </c>
      <c r="X39" s="260">
        <f>'English LRFD Working Area'!BA39</f>
        <v>12</v>
      </c>
      <c r="Y39" s="237">
        <f>'English LRFD Working Area'!BB39</f>
        <v>13</v>
      </c>
      <c r="Z39" s="237">
        <f>'English LRFD Working Area'!BC39</f>
        <v>13</v>
      </c>
      <c r="AA39" s="237">
        <f>'English LRFD Working Area'!BD39</f>
        <v>12</v>
      </c>
      <c r="AB39" s="237">
        <f>'English LRFD Working Area'!BE39</f>
        <v>11</v>
      </c>
      <c r="AC39" s="261">
        <f>'English LRFD Working Area'!BF39</f>
        <v>13</v>
      </c>
      <c r="AF39" s="267">
        <f t="shared" si="7"/>
        <v>11.25</v>
      </c>
      <c r="AG39" s="270">
        <f t="shared" si="8"/>
        <v>9</v>
      </c>
      <c r="AH39" s="422">
        <f>'English LRFD Working Area'!BJ39</f>
        <v>5.5</v>
      </c>
      <c r="AI39" s="416">
        <f>'English LRFD Working Area'!BK39</f>
        <v>13.352941176470589</v>
      </c>
      <c r="AJ39" s="401">
        <f>'English LRFD Working Area'!BL39</f>
        <v>14.588235294117649</v>
      </c>
      <c r="AK39" s="401">
        <f>'English LRFD Working Area'!BM39</f>
        <v>14.235294164705882</v>
      </c>
      <c r="AL39" s="401">
        <f>'English LRFD Working Area'!BN39</f>
        <v>13.76470588235294</v>
      </c>
      <c r="AM39" s="401">
        <f>'English LRFD Working Area'!BO39</f>
        <v>12.705882352941178</v>
      </c>
      <c r="AN39" s="417">
        <f>'English LRFD Working Area'!BP39</f>
        <v>15.176470588235293</v>
      </c>
      <c r="AP39" s="267">
        <f t="shared" si="1"/>
        <v>11.25</v>
      </c>
      <c r="AQ39" s="470">
        <f>'English LRFD Working Area'!BR39</f>
        <v>0.67</v>
      </c>
      <c r="AR39" s="464">
        <f>'English LRFD Working Area'!BS39</f>
        <v>0.67</v>
      </c>
      <c r="AS39" s="464">
        <f>'English LRFD Working Area'!BT39</f>
        <v>0.67</v>
      </c>
      <c r="AT39" s="464">
        <f>'English LRFD Working Area'!BU39</f>
        <v>0.67</v>
      </c>
      <c r="AU39" s="464">
        <f>'English LRFD Working Area'!BV39</f>
        <v>0.67</v>
      </c>
      <c r="AV39" s="471">
        <f>'English LRFD Working Area'!BW39</f>
        <v>0.67</v>
      </c>
      <c r="BG39" s="1"/>
      <c r="BH39" t="s">
        <v>106</v>
      </c>
      <c r="BM39" s="71">
        <v>12.5</v>
      </c>
      <c r="BN39" s="10">
        <v>9</v>
      </c>
      <c r="BO39" s="11" t="s">
        <v>42</v>
      </c>
      <c r="BP39" s="12">
        <v>7</v>
      </c>
      <c r="BQ39" s="11">
        <v>16</v>
      </c>
      <c r="BR39" s="11">
        <v>4</v>
      </c>
      <c r="BS39" s="13">
        <f t="shared" si="4"/>
        <v>10.5</v>
      </c>
      <c r="BV39" s="571" t="str">
        <f t="shared" si="12"/>
        <v>MTS-45</v>
      </c>
      <c r="BW39" s="513">
        <v>7</v>
      </c>
      <c r="BX39" s="577">
        <f t="shared" si="13"/>
        <v>13</v>
      </c>
      <c r="CJ39" s="571" t="str">
        <f t="shared" si="14"/>
        <v>MTS-45</v>
      </c>
      <c r="CK39" s="513">
        <v>7</v>
      </c>
      <c r="CL39" s="577">
        <f t="shared" si="15"/>
        <v>13</v>
      </c>
      <c r="CM39" s="476"/>
      <c r="CN39" s="38"/>
      <c r="CO39" s="38"/>
      <c r="CP39" s="477"/>
    </row>
    <row r="40" spans="2:94" x14ac:dyDescent="0.2">
      <c r="L40" s="267">
        <f>'English LRFD Working Area'!C40</f>
        <v>11.5</v>
      </c>
      <c r="M40" s="270">
        <f>'English LRFD Working Area'!P40</f>
        <v>9</v>
      </c>
      <c r="N40" s="378" t="str">
        <f>'English LRFD Working Area'!Q40</f>
        <v># 6</v>
      </c>
      <c r="O40" s="247">
        <f>MIN('English LRFD Working Area'!Y40:Z40)</f>
        <v>9.75</v>
      </c>
      <c r="P40" s="378" t="str">
        <f>'English LRFD Working Area'!R40</f>
        <v># 6</v>
      </c>
      <c r="Q40" s="234">
        <f>MIN(VLOOKUP($P40,$U$76:$V$78,2,FALSE),'English LRFD Working Area'!AC40:AD40)</f>
        <v>7.25</v>
      </c>
      <c r="R40" s="234">
        <f>MIN(VLOOKUP($P40,$U$76:$V$78,2,FALSE),'English LRFD Working Area'!AG40:AH40)</f>
        <v>6.25</v>
      </c>
      <c r="S40" s="234">
        <f>MIN(VLOOKUP($P40,$U$76:$V$78,2,FALSE),'English LRFD Working Area'!AK40:AL40)</f>
        <v>6.25</v>
      </c>
      <c r="T40" s="234">
        <f>MIN(VLOOKUP($P40,$U$76:$V$78,2,FALSE),'English LRFD Working Area'!AO40:AP40)</f>
        <v>6.75</v>
      </c>
      <c r="U40" s="234">
        <f>MIN(VLOOKUP($P40,$U$76:$V$78,2,FALSE),'English LRFD Working Area'!AS40:AT40)</f>
        <v>7.5</v>
      </c>
      <c r="V40" s="247">
        <f>MIN(VLOOKUP($P40,$U$76:$V$78,2,FALSE),'English LRFD Working Area'!AW40:AX40)</f>
        <v>6</v>
      </c>
      <c r="W40" s="246" t="str">
        <f>'English LRFD Working Area'!AY40</f>
        <v># 5</v>
      </c>
      <c r="X40" s="260">
        <f>'English LRFD Working Area'!BA40</f>
        <v>12</v>
      </c>
      <c r="Y40" s="237">
        <f>'English LRFD Working Area'!BB40</f>
        <v>13</v>
      </c>
      <c r="Z40" s="237">
        <f>'English LRFD Working Area'!BC40</f>
        <v>13</v>
      </c>
      <c r="AA40" s="237">
        <f>'English LRFD Working Area'!BD40</f>
        <v>13</v>
      </c>
      <c r="AB40" s="237">
        <f>'English LRFD Working Area'!BE40</f>
        <v>12</v>
      </c>
      <c r="AC40" s="261">
        <f>'English LRFD Working Area'!BF40</f>
        <v>14</v>
      </c>
      <c r="AF40" s="267">
        <f t="shared" si="7"/>
        <v>11.5</v>
      </c>
      <c r="AG40" s="270">
        <f t="shared" si="8"/>
        <v>9</v>
      </c>
      <c r="AH40" s="422">
        <f>'English LRFD Working Area'!BJ40</f>
        <v>5.5</v>
      </c>
      <c r="AI40" s="416">
        <f>'English LRFD Working Area'!BK40</f>
        <v>13.705882352941178</v>
      </c>
      <c r="AJ40" s="401">
        <f>'English LRFD Working Area'!BL40</f>
        <v>14.941176470588236</v>
      </c>
      <c r="AK40" s="401">
        <f>'English LRFD Working Area'!BM40</f>
        <v>14.588235341176469</v>
      </c>
      <c r="AL40" s="401">
        <f>'English LRFD Working Area'!BN40</f>
        <v>14.117647058823529</v>
      </c>
      <c r="AM40" s="401">
        <f>'English LRFD Working Area'!BO40</f>
        <v>13.058823529411764</v>
      </c>
      <c r="AN40" s="417">
        <f>'English LRFD Working Area'!BP40</f>
        <v>15.529411764705884</v>
      </c>
      <c r="AP40" s="267">
        <f t="shared" si="1"/>
        <v>11.5</v>
      </c>
      <c r="AQ40" s="470">
        <f>'English LRFD Working Area'!BR40</f>
        <v>0.67</v>
      </c>
      <c r="AR40" s="464">
        <f>'English LRFD Working Area'!BS40</f>
        <v>0.67</v>
      </c>
      <c r="AS40" s="464">
        <f>'English LRFD Working Area'!BT40</f>
        <v>0.67</v>
      </c>
      <c r="AT40" s="464">
        <f>'English LRFD Working Area'!BU40</f>
        <v>0.67</v>
      </c>
      <c r="AU40" s="464">
        <f>'English LRFD Working Area'!BV40</f>
        <v>0.67</v>
      </c>
      <c r="AV40" s="471">
        <f>'English LRFD Working Area'!BW40</f>
        <v>0.66332495807108005</v>
      </c>
      <c r="BH40" t="s">
        <v>108</v>
      </c>
      <c r="BV40" s="571" t="str">
        <f t="shared" si="12"/>
        <v>MTS-54</v>
      </c>
      <c r="BW40" s="513">
        <v>7</v>
      </c>
      <c r="BX40" s="577">
        <f t="shared" si="13"/>
        <v>13</v>
      </c>
      <c r="BZ40" s="565" t="s">
        <v>502</v>
      </c>
      <c r="CA40" s="566" t="s">
        <v>500</v>
      </c>
      <c r="CJ40" s="571" t="str">
        <f t="shared" si="14"/>
        <v>MTS-54</v>
      </c>
      <c r="CK40" s="513">
        <v>7</v>
      </c>
      <c r="CL40" s="577">
        <f t="shared" si="15"/>
        <v>13</v>
      </c>
      <c r="CM40" s="476"/>
      <c r="CN40" s="565" t="s">
        <v>502</v>
      </c>
      <c r="CO40" s="566" t="s">
        <v>500</v>
      </c>
      <c r="CP40" s="477"/>
    </row>
    <row r="41" spans="2:94" x14ac:dyDescent="0.2">
      <c r="L41" s="267">
        <f>'English LRFD Working Area'!C41</f>
        <v>11.75</v>
      </c>
      <c r="M41" s="270">
        <f>'English LRFD Working Area'!P41</f>
        <v>9</v>
      </c>
      <c r="N41" s="378" t="str">
        <f>'English LRFD Working Area'!Q41</f>
        <v># 6</v>
      </c>
      <c r="O41" s="247">
        <f>MIN('English LRFD Working Area'!Y41:Z41)</f>
        <v>9.5</v>
      </c>
      <c r="P41" s="378" t="str">
        <f>'English LRFD Working Area'!R41</f>
        <v># 6</v>
      </c>
      <c r="Q41" s="234">
        <f>MIN(VLOOKUP($P41,$U$76:$V$78,2,FALSE),'English LRFD Working Area'!AC41:AD41)</f>
        <v>7</v>
      </c>
      <c r="R41" s="234">
        <f>MIN(VLOOKUP($P41,$U$76:$V$78,2,FALSE),'English LRFD Working Area'!AG41:AH41)</f>
        <v>6</v>
      </c>
      <c r="S41" s="234">
        <f>MIN(VLOOKUP($P41,$U$76:$V$78,2,FALSE),'English LRFD Working Area'!AK41:AL41)</f>
        <v>6.25</v>
      </c>
      <c r="T41" s="234">
        <f>MIN(VLOOKUP($P41,$U$76:$V$78,2,FALSE),'English LRFD Working Area'!AO41:AP41)</f>
        <v>6.75</v>
      </c>
      <c r="U41" s="234">
        <f>MIN(VLOOKUP($P41,$U$76:$V$78,2,FALSE),'English LRFD Working Area'!AS41:AT41)</f>
        <v>7.25</v>
      </c>
      <c r="V41" s="247">
        <f>MIN(VLOOKUP($P41,$U$76:$V$78,2,FALSE),'English LRFD Working Area'!AW41:AX41)</f>
        <v>5.75</v>
      </c>
      <c r="W41" s="246" t="str">
        <f>'English LRFD Working Area'!AY41</f>
        <v># 5</v>
      </c>
      <c r="X41" s="260">
        <f>'English LRFD Working Area'!BA41</f>
        <v>13</v>
      </c>
      <c r="Y41" s="237">
        <f>'English LRFD Working Area'!BB41</f>
        <v>14</v>
      </c>
      <c r="Z41" s="237">
        <f>'English LRFD Working Area'!BC41</f>
        <v>14</v>
      </c>
      <c r="AA41" s="237">
        <f>'English LRFD Working Area'!BD41</f>
        <v>13</v>
      </c>
      <c r="AB41" s="237">
        <f>'English LRFD Working Area'!BE41</f>
        <v>12</v>
      </c>
      <c r="AC41" s="261">
        <f>'English LRFD Working Area'!BF41</f>
        <v>14</v>
      </c>
      <c r="AF41" s="267">
        <f t="shared" si="7"/>
        <v>11.75</v>
      </c>
      <c r="AG41" s="270">
        <f t="shared" si="8"/>
        <v>9</v>
      </c>
      <c r="AH41" s="422">
        <f>'English LRFD Working Area'!BJ41</f>
        <v>5.5</v>
      </c>
      <c r="AI41" s="416">
        <f>'English LRFD Working Area'!BK41</f>
        <v>14.058823529411764</v>
      </c>
      <c r="AJ41" s="401">
        <f>'English LRFD Working Area'!BL41</f>
        <v>15.294117647058826</v>
      </c>
      <c r="AK41" s="401">
        <f>'English LRFD Working Area'!BM41</f>
        <v>14.941176517647058</v>
      </c>
      <c r="AL41" s="401">
        <f>'English LRFD Working Area'!BN41</f>
        <v>14.470588235294116</v>
      </c>
      <c r="AM41" s="401">
        <f>'English LRFD Working Area'!BO41</f>
        <v>13.411764705882353</v>
      </c>
      <c r="AN41" s="417">
        <f>'English LRFD Working Area'!BP41</f>
        <v>15.882352941176471</v>
      </c>
      <c r="AP41" s="267">
        <f t="shared" si="1"/>
        <v>11.75</v>
      </c>
      <c r="AQ41" s="470">
        <f>'English LRFD Working Area'!BR41</f>
        <v>0.67</v>
      </c>
      <c r="AR41" s="464">
        <f>'English LRFD Working Area'!BS41</f>
        <v>0.66840798227521991</v>
      </c>
      <c r="AS41" s="464">
        <f>'English LRFD Working Area'!BT41</f>
        <v>0.67</v>
      </c>
      <c r="AT41" s="464">
        <f>'English LRFD Working Area'!BU41</f>
        <v>0.67</v>
      </c>
      <c r="AU41" s="464">
        <f>'English LRFD Working Area'!BV41</f>
        <v>0.67</v>
      </c>
      <c r="AV41" s="471">
        <f>'English LRFD Working Area'!BW41</f>
        <v>0.65591327339993821</v>
      </c>
      <c r="BV41" s="571" t="str">
        <f t="shared" si="12"/>
        <v>MTS-72</v>
      </c>
      <c r="BW41" s="513">
        <v>7</v>
      </c>
      <c r="BX41" s="577">
        <f t="shared" si="13"/>
        <v>13</v>
      </c>
      <c r="BZ41" s="580" t="s">
        <v>362</v>
      </c>
      <c r="CA41" s="581" t="s">
        <v>76</v>
      </c>
      <c r="CJ41" s="571" t="str">
        <f t="shared" si="14"/>
        <v>MTS-72</v>
      </c>
      <c r="CK41" s="513">
        <v>7</v>
      </c>
      <c r="CL41" s="577">
        <f t="shared" si="15"/>
        <v>13</v>
      </c>
      <c r="CM41" s="476"/>
      <c r="CN41" s="580" t="s">
        <v>362</v>
      </c>
      <c r="CO41" s="581" t="s">
        <v>76</v>
      </c>
      <c r="CP41" s="477"/>
    </row>
    <row r="42" spans="2:94" x14ac:dyDescent="0.2">
      <c r="L42" s="267">
        <f>'English LRFD Working Area'!C42</f>
        <v>12</v>
      </c>
      <c r="M42" s="270">
        <f>'English LRFD Working Area'!P42</f>
        <v>9</v>
      </c>
      <c r="N42" s="378" t="str">
        <f>'English LRFD Working Area'!Q42</f>
        <v># 6</v>
      </c>
      <c r="O42" s="247">
        <f>MIN('English LRFD Working Area'!Y42:Z42)</f>
        <v>9.5</v>
      </c>
      <c r="P42" s="378" t="str">
        <f>'English LRFD Working Area'!R42</f>
        <v># 6</v>
      </c>
      <c r="Q42" s="234">
        <f>MIN(VLOOKUP($P42,$U$76:$V$78,2,FALSE),'English LRFD Working Area'!AC42:AD42)</f>
        <v>6.75</v>
      </c>
      <c r="R42" s="234">
        <f>MIN(VLOOKUP($P42,$U$76:$V$78,2,FALSE),'English LRFD Working Area'!AG42:AH42)</f>
        <v>5.75</v>
      </c>
      <c r="S42" s="234">
        <f>MIN(VLOOKUP($P42,$U$76:$V$78,2,FALSE),'English LRFD Working Area'!AK42:AL42)</f>
        <v>6</v>
      </c>
      <c r="T42" s="234">
        <f>MIN(VLOOKUP($P42,$U$76:$V$78,2,FALSE),'English LRFD Working Area'!AO42:AP42)</f>
        <v>6.5</v>
      </c>
      <c r="U42" s="234">
        <f>MIN(VLOOKUP($P42,$U$76:$V$78,2,FALSE),'English LRFD Working Area'!AS42:AT42)</f>
        <v>7</v>
      </c>
      <c r="V42" s="247">
        <f>MIN(VLOOKUP($P42,$U$76:$V$78,2,FALSE),'English LRFD Working Area'!AW42:AX42)</f>
        <v>5.5</v>
      </c>
      <c r="W42" s="246" t="str">
        <f>'English LRFD Working Area'!AY42</f>
        <v># 5</v>
      </c>
      <c r="X42" s="260">
        <f>'English LRFD Working Area'!BA42</f>
        <v>13</v>
      </c>
      <c r="Y42" s="237">
        <f>'English LRFD Working Area'!BB42</f>
        <v>14</v>
      </c>
      <c r="Z42" s="237">
        <f>'English LRFD Working Area'!BC42</f>
        <v>14</v>
      </c>
      <c r="AA42" s="237">
        <f>'English LRFD Working Area'!BD42</f>
        <v>14</v>
      </c>
      <c r="AB42" s="237">
        <f>'English LRFD Working Area'!BE42</f>
        <v>13</v>
      </c>
      <c r="AC42" s="261">
        <f>'English LRFD Working Area'!BF42</f>
        <v>15</v>
      </c>
      <c r="AF42" s="267">
        <f t="shared" si="7"/>
        <v>12</v>
      </c>
      <c r="AG42" s="270">
        <f t="shared" si="8"/>
        <v>9</v>
      </c>
      <c r="AH42" s="422">
        <f>'English LRFD Working Area'!BJ42</f>
        <v>5.5</v>
      </c>
      <c r="AI42" s="416">
        <f>'English LRFD Working Area'!BK42</f>
        <v>14.411764705882355</v>
      </c>
      <c r="AJ42" s="401">
        <f>'English LRFD Working Area'!BL42</f>
        <v>15.647058823529413</v>
      </c>
      <c r="AK42" s="401">
        <f>'English LRFD Working Area'!BM42</f>
        <v>15.294117694117645</v>
      </c>
      <c r="AL42" s="401">
        <f>'English LRFD Working Area'!BN42</f>
        <v>14.823529411764707</v>
      </c>
      <c r="AM42" s="401">
        <f>'English LRFD Working Area'!BO42</f>
        <v>13.76470588235294</v>
      </c>
      <c r="AN42" s="417">
        <f>'English LRFD Working Area'!BP42</f>
        <v>16.235294117647058</v>
      </c>
      <c r="AP42" s="267">
        <f t="shared" si="1"/>
        <v>12</v>
      </c>
      <c r="AQ42" s="470">
        <f>'English LRFD Working Area'!BR42</f>
        <v>0.67</v>
      </c>
      <c r="AR42" s="464">
        <f>'English LRFD Working Area'!BS42</f>
        <v>0.66082655010472169</v>
      </c>
      <c r="AS42" s="464">
        <f>'English LRFD Working Area'!BT42</f>
        <v>0.66840798124689993</v>
      </c>
      <c r="AT42" s="464">
        <f>'English LRFD Working Area'!BU42</f>
        <v>0.67</v>
      </c>
      <c r="AU42" s="464">
        <f>'English LRFD Working Area'!BV42</f>
        <v>0.67</v>
      </c>
      <c r="AV42" s="471">
        <f>'English LRFD Working Area'!BW42</f>
        <v>0.64874460708154746</v>
      </c>
      <c r="BV42" s="572" t="str">
        <f t="shared" si="12"/>
        <v>Steel</v>
      </c>
      <c r="BW42" s="573">
        <v>8</v>
      </c>
      <c r="BX42" s="579">
        <f t="shared" si="13"/>
        <v>14</v>
      </c>
      <c r="BZ42" s="567" t="str">
        <f>D7</f>
        <v>MTS-54</v>
      </c>
      <c r="CA42" s="568">
        <f>VLOOKUP(BZ42,$BV$34:$BX$42,3,FALSE)</f>
        <v>13</v>
      </c>
      <c r="CJ42" s="572" t="str">
        <f t="shared" si="14"/>
        <v>Steel</v>
      </c>
      <c r="CK42" s="573">
        <v>8</v>
      </c>
      <c r="CL42" s="579">
        <f t="shared" si="15"/>
        <v>14</v>
      </c>
      <c r="CM42" s="281"/>
      <c r="CN42" s="567" t="str">
        <f>BZ42</f>
        <v>MTS-54</v>
      </c>
      <c r="CO42" s="568">
        <f>VLOOKUP(CN42,$CJ$34:$CL$42,3,FALSE)</f>
        <v>13</v>
      </c>
      <c r="CP42" s="283"/>
    </row>
    <row r="43" spans="2:94" x14ac:dyDescent="0.2">
      <c r="L43" s="267">
        <f>'English LRFD Working Area'!C43</f>
        <v>12.25</v>
      </c>
      <c r="M43" s="270">
        <f>'English LRFD Working Area'!P43</f>
        <v>9.5</v>
      </c>
      <c r="N43" s="378" t="str">
        <f>'English LRFD Working Area'!Q43</f>
        <v># 6</v>
      </c>
      <c r="O43" s="247">
        <f>MIN('English LRFD Working Area'!Y43:Z43)</f>
        <v>9.75</v>
      </c>
      <c r="P43" s="378" t="str">
        <f>'English LRFD Working Area'!R43</f>
        <v># 6</v>
      </c>
      <c r="Q43" s="234">
        <f>MIN(VLOOKUP($P43,$U$76:$V$78,2,FALSE),'English LRFD Working Area'!AC43:AD43)</f>
        <v>7</v>
      </c>
      <c r="R43" s="234">
        <f>MIN(VLOOKUP($P43,$U$76:$V$78,2,FALSE),'English LRFD Working Area'!AG43:AH43)</f>
        <v>6.25</v>
      </c>
      <c r="S43" s="234">
        <f>MIN(VLOOKUP($P43,$U$76:$V$78,2,FALSE),'English LRFD Working Area'!AK43:AL43)</f>
        <v>6.25</v>
      </c>
      <c r="T43" s="234">
        <f>MIN(VLOOKUP($P43,$U$76:$V$78,2,FALSE),'English LRFD Working Area'!AO43:AP43)</f>
        <v>6.75</v>
      </c>
      <c r="U43" s="234">
        <f>MIN(VLOOKUP($P43,$U$76:$V$78,2,FALSE),'English LRFD Working Area'!AS43:AT43)</f>
        <v>7.5</v>
      </c>
      <c r="V43" s="247">
        <f>MIN(VLOOKUP($P43,$U$76:$V$78,2,FALSE),'English LRFD Working Area'!AW43:AX43)</f>
        <v>6</v>
      </c>
      <c r="W43" s="246" t="str">
        <f>'English LRFD Working Area'!AY43</f>
        <v># 5</v>
      </c>
      <c r="X43" s="260">
        <f>'English LRFD Working Area'!BA43</f>
        <v>13</v>
      </c>
      <c r="Y43" s="237">
        <f>'English LRFD Working Area'!BB43</f>
        <v>14</v>
      </c>
      <c r="Z43" s="237">
        <f>'English LRFD Working Area'!BC43</f>
        <v>14</v>
      </c>
      <c r="AA43" s="237">
        <f>'English LRFD Working Area'!BD43</f>
        <v>14</v>
      </c>
      <c r="AB43" s="237">
        <f>'English LRFD Working Area'!BE43</f>
        <v>13</v>
      </c>
      <c r="AC43" s="261">
        <f>'English LRFD Working Area'!BF43</f>
        <v>14</v>
      </c>
      <c r="AF43" s="267">
        <f t="shared" si="7"/>
        <v>12.25</v>
      </c>
      <c r="AG43" s="270">
        <f t="shared" si="8"/>
        <v>9.5</v>
      </c>
      <c r="AH43" s="422">
        <f>'English LRFD Working Area'!BJ43</f>
        <v>6</v>
      </c>
      <c r="AI43" s="416">
        <f>'English LRFD Working Area'!BK43</f>
        <v>13.944444444444446</v>
      </c>
      <c r="AJ43" s="401">
        <f>'English LRFD Working Area'!BL43</f>
        <v>15.111111111111111</v>
      </c>
      <c r="AK43" s="401">
        <f>'English LRFD Working Area'!BM43</f>
        <v>14.777777822222223</v>
      </c>
      <c r="AL43" s="401">
        <f>'English LRFD Working Area'!BN43</f>
        <v>14.333333333333332</v>
      </c>
      <c r="AM43" s="401">
        <f>'English LRFD Working Area'!BO43</f>
        <v>13.333333333333334</v>
      </c>
      <c r="AN43" s="417">
        <f>'English LRFD Working Area'!BP43</f>
        <v>15.666666666666668</v>
      </c>
      <c r="AP43" s="267">
        <f t="shared" si="1"/>
        <v>12.25</v>
      </c>
      <c r="AQ43" s="470">
        <f>'English LRFD Working Area'!BR43</f>
        <v>0.67</v>
      </c>
      <c r="AR43" s="464">
        <f>'English LRFD Working Area'!BS43</f>
        <v>0.65349737836460509</v>
      </c>
      <c r="AS43" s="464">
        <f>'English LRFD Working Area'!BT43</f>
        <v>0.66082654911099747</v>
      </c>
      <c r="AT43" s="464">
        <f>'English LRFD Working Area'!BU43</f>
        <v>0.67</v>
      </c>
      <c r="AU43" s="464">
        <f>'English LRFD Working Area'!BV43</f>
        <v>0.67</v>
      </c>
      <c r="AV43" s="471">
        <f>'English LRFD Working Area'!BW43</f>
        <v>0.64180596259073608</v>
      </c>
      <c r="CG43" s="626" t="str">
        <f>'LRFD Deck Charts'!S57</f>
        <v>Version 1 Released</v>
      </c>
      <c r="CH43" s="563">
        <f>'LRFD Deck Charts'!T57</f>
        <v>42164</v>
      </c>
    </row>
    <row r="44" spans="2:94" x14ac:dyDescent="0.2">
      <c r="L44" s="267">
        <f>'English LRFD Working Area'!C44</f>
        <v>12.5</v>
      </c>
      <c r="M44" s="270">
        <f>'English LRFD Working Area'!P44</f>
        <v>9.5</v>
      </c>
      <c r="N44" s="378" t="str">
        <f>'English LRFD Working Area'!Q44</f>
        <v># 6</v>
      </c>
      <c r="O44" s="247">
        <f>MIN('English LRFD Working Area'!Y44:Z44)</f>
        <v>9.75</v>
      </c>
      <c r="P44" s="378" t="str">
        <f>'English LRFD Working Area'!R44</f>
        <v># 6</v>
      </c>
      <c r="Q44" s="234">
        <f>MIN(VLOOKUP($P44,$U$76:$V$78,2,FALSE),'English LRFD Working Area'!AC44:AD44)</f>
        <v>6.75</v>
      </c>
      <c r="R44" s="234">
        <f>MIN(VLOOKUP($P44,$U$76:$V$78,2,FALSE),'English LRFD Working Area'!AG44:AH44)</f>
        <v>6</v>
      </c>
      <c r="S44" s="234">
        <f>MIN(VLOOKUP($P44,$U$76:$V$78,2,FALSE),'English LRFD Working Area'!AK44:AL44)</f>
        <v>6.25</v>
      </c>
      <c r="T44" s="234">
        <f>MIN(VLOOKUP($P44,$U$76:$V$78,2,FALSE),'English LRFD Working Area'!AO44:AP44)</f>
        <v>6.5</v>
      </c>
      <c r="U44" s="234">
        <f>MIN(VLOOKUP($P44,$U$76:$V$78,2,FALSE),'English LRFD Working Area'!AS44:AT44)</f>
        <v>7.25</v>
      </c>
      <c r="V44" s="247">
        <f>MIN(VLOOKUP($P44,$U$76:$V$78,2,FALSE),'English LRFD Working Area'!AW44:AX44)</f>
        <v>5.75</v>
      </c>
      <c r="W44" s="246" t="str">
        <f>'English LRFD Working Area'!AY44</f>
        <v># 5</v>
      </c>
      <c r="X44" s="260">
        <f>'English LRFD Working Area'!BA44</f>
        <v>14</v>
      </c>
      <c r="Y44" s="237">
        <f>'English LRFD Working Area'!BB44</f>
        <v>14</v>
      </c>
      <c r="Z44" s="237">
        <f>'English LRFD Working Area'!BC44</f>
        <v>14</v>
      </c>
      <c r="AA44" s="237">
        <f>'English LRFD Working Area'!BD44</f>
        <v>14</v>
      </c>
      <c r="AB44" s="237">
        <f>'English LRFD Working Area'!BE44</f>
        <v>13</v>
      </c>
      <c r="AC44" s="261">
        <f>'English LRFD Working Area'!BF44</f>
        <v>14</v>
      </c>
      <c r="AF44" s="267">
        <f t="shared" si="7"/>
        <v>12.5</v>
      </c>
      <c r="AG44" s="270">
        <f t="shared" si="8"/>
        <v>9.5</v>
      </c>
      <c r="AH44" s="422">
        <f>'English LRFD Working Area'!BJ44</f>
        <v>6</v>
      </c>
      <c r="AI44" s="416">
        <f>'English LRFD Working Area'!BK44</f>
        <v>14.277777777777779</v>
      </c>
      <c r="AJ44" s="401">
        <f>'English LRFD Working Area'!BL44</f>
        <v>15.444444444444446</v>
      </c>
      <c r="AK44" s="401">
        <f>'English LRFD Working Area'!BM44</f>
        <v>15.111111155555555</v>
      </c>
      <c r="AL44" s="401">
        <f>'English LRFD Working Area'!BN44</f>
        <v>14.666666666666668</v>
      </c>
      <c r="AM44" s="401">
        <f>'English LRFD Working Area'!BO44</f>
        <v>13.666666666666666</v>
      </c>
      <c r="AN44" s="417">
        <f>'English LRFD Working Area'!BP44</f>
        <v>16</v>
      </c>
      <c r="AP44" s="267">
        <f t="shared" si="1"/>
        <v>12.5</v>
      </c>
      <c r="AQ44" s="470">
        <f>'English LRFD Working Area'!BR44</f>
        <v>0.67</v>
      </c>
      <c r="AR44" s="464">
        <f>'English LRFD Working Area'!BS44</f>
        <v>0.64640678107419713</v>
      </c>
      <c r="AS44" s="464">
        <f>'English LRFD Working Area'!BT44</f>
        <v>0.65349737740357949</v>
      </c>
      <c r="AT44" s="464">
        <f>'English LRFD Working Area'!BU44</f>
        <v>0.66332495807108005</v>
      </c>
      <c r="AU44" s="464">
        <f>'English LRFD Working Area'!BV44</f>
        <v>0.67</v>
      </c>
      <c r="AV44" s="471">
        <f>'English LRFD Working Area'!BW44</f>
        <v>0.63508529610858833</v>
      </c>
      <c r="BU44" s="456" t="s">
        <v>469</v>
      </c>
      <c r="CD44" s="456" t="s">
        <v>627</v>
      </c>
    </row>
    <row r="45" spans="2:94" ht="15.75" x14ac:dyDescent="0.3">
      <c r="L45" s="267">
        <f>'English LRFD Working Area'!C45</f>
        <v>12.75</v>
      </c>
      <c r="M45" s="270">
        <f>'English LRFD Working Area'!P45</f>
        <v>9.5</v>
      </c>
      <c r="N45" s="378" t="str">
        <f>'English LRFD Working Area'!Q45</f>
        <v># 6</v>
      </c>
      <c r="O45" s="247">
        <f>MIN('English LRFD Working Area'!Y45:Z45)</f>
        <v>9.5</v>
      </c>
      <c r="P45" s="378" t="str">
        <f>'English LRFD Working Area'!R45</f>
        <v># 6</v>
      </c>
      <c r="Q45" s="234">
        <f>MIN(VLOOKUP($P45,$U$76:$V$78,2,FALSE),'English LRFD Working Area'!AC45:AD45)</f>
        <v>6.75</v>
      </c>
      <c r="R45" s="234">
        <f>MIN(VLOOKUP($P45,$U$76:$V$78,2,FALSE),'English LRFD Working Area'!AG45:AH45)</f>
        <v>6</v>
      </c>
      <c r="S45" s="234">
        <f>MIN(VLOOKUP($P45,$U$76:$V$78,2,FALSE),'English LRFD Working Area'!AK45:AL45)</f>
        <v>6</v>
      </c>
      <c r="T45" s="234">
        <f>MIN(VLOOKUP($P45,$U$76:$V$78,2,FALSE),'English LRFD Working Area'!AO45:AP45)</f>
        <v>6.5</v>
      </c>
      <c r="U45" s="234">
        <f>MIN(VLOOKUP($P45,$U$76:$V$78,2,FALSE),'English LRFD Working Area'!AS45:AT45)</f>
        <v>7</v>
      </c>
      <c r="V45" s="247">
        <f>MIN(VLOOKUP($P45,$U$76:$V$78,2,FALSE),'English LRFD Working Area'!AW45:AX45)</f>
        <v>5.75</v>
      </c>
      <c r="W45" s="246" t="str">
        <f>'English LRFD Working Area'!AY45</f>
        <v># 5</v>
      </c>
      <c r="X45" s="260">
        <f>'English LRFD Working Area'!BA45</f>
        <v>14</v>
      </c>
      <c r="Y45" s="237">
        <f>'English LRFD Working Area'!BB45</f>
        <v>15</v>
      </c>
      <c r="Z45" s="237">
        <f>'English LRFD Working Area'!BC45</f>
        <v>15</v>
      </c>
      <c r="AA45" s="237">
        <f>'English LRFD Working Area'!BD45</f>
        <v>14</v>
      </c>
      <c r="AB45" s="237">
        <f>'English LRFD Working Area'!BE45</f>
        <v>14</v>
      </c>
      <c r="AC45" s="261">
        <f>'English LRFD Working Area'!BF45</f>
        <v>15</v>
      </c>
      <c r="AF45" s="267">
        <f t="shared" si="7"/>
        <v>12.75</v>
      </c>
      <c r="AG45" s="270">
        <f t="shared" si="8"/>
        <v>9.5</v>
      </c>
      <c r="AH45" s="422">
        <f>'English LRFD Working Area'!BJ45</f>
        <v>6</v>
      </c>
      <c r="AI45" s="416">
        <f>'English LRFD Working Area'!BK45</f>
        <v>14.611111111111111</v>
      </c>
      <c r="AJ45" s="401">
        <f>'English LRFD Working Area'!BL45</f>
        <v>15.777777777777779</v>
      </c>
      <c r="AK45" s="401">
        <f>'English LRFD Working Area'!BM45</f>
        <v>15.444444488888889</v>
      </c>
      <c r="AL45" s="401">
        <f>'English LRFD Working Area'!BN45</f>
        <v>15</v>
      </c>
      <c r="AM45" s="401">
        <f>'English LRFD Working Area'!BO45</f>
        <v>14</v>
      </c>
      <c r="AN45" s="417">
        <f>'English LRFD Working Area'!BP45</f>
        <v>16.333333333333336</v>
      </c>
      <c r="AP45" s="267">
        <f t="shared" si="1"/>
        <v>12.75</v>
      </c>
      <c r="AQ45" s="470">
        <f>'English LRFD Working Area'!BR45</f>
        <v>0.66458483566981985</v>
      </c>
      <c r="AR45" s="464">
        <f>'English LRFD Working Area'!BS45</f>
        <v>0.63954208970719217</v>
      </c>
      <c r="AS45" s="464">
        <f>'English LRFD Working Area'!BT45</f>
        <v>0.64640678014411546</v>
      </c>
      <c r="AT45" s="464">
        <f>'English LRFD Working Area'!BU45</f>
        <v>0.65591327339993821</v>
      </c>
      <c r="AU45" s="464">
        <f>'English LRFD Working Area'!BV45</f>
        <v>0.67</v>
      </c>
      <c r="AV45" s="471">
        <f>'English LRFD Working Area'!BW45</f>
        <v>0.62857142857142856</v>
      </c>
      <c r="BH45" t="s">
        <v>633</v>
      </c>
      <c r="CD45" s="456" t="s">
        <v>483</v>
      </c>
      <c r="CF45" s="456" t="s">
        <v>484</v>
      </c>
    </row>
    <row r="46" spans="2:94" x14ac:dyDescent="0.2">
      <c r="L46" s="267">
        <f>'English LRFD Working Area'!C46</f>
        <v>13</v>
      </c>
      <c r="M46" s="270">
        <f>'English LRFD Working Area'!P46</f>
        <v>10</v>
      </c>
      <c r="N46" s="378" t="str">
        <f>'English LRFD Working Area'!Q46</f>
        <v># 6</v>
      </c>
      <c r="O46" s="247">
        <f>MIN('English LRFD Working Area'!Y46:Z46)</f>
        <v>9.75</v>
      </c>
      <c r="P46" s="378" t="str">
        <f>'English LRFD Working Area'!R46</f>
        <v># 6</v>
      </c>
      <c r="Q46" s="234">
        <f>MIN(VLOOKUP($P46,$U$76:$V$78,2,FALSE),'English LRFD Working Area'!AC46:AD46)</f>
        <v>7</v>
      </c>
      <c r="R46" s="234">
        <f>MIN(VLOOKUP($P46,$U$76:$V$78,2,FALSE),'English LRFD Working Area'!AG46:AH46)</f>
        <v>6.25</v>
      </c>
      <c r="S46" s="234">
        <f>MIN(VLOOKUP($P46,$U$76:$V$78,2,FALSE),'English LRFD Working Area'!AK46:AL46)</f>
        <v>6.25</v>
      </c>
      <c r="T46" s="234">
        <f>MIN(VLOOKUP($P46,$U$76:$V$78,2,FALSE),'English LRFD Working Area'!AO46:AP46)</f>
        <v>6.75</v>
      </c>
      <c r="U46" s="234">
        <f>MIN(VLOOKUP($P46,$U$76:$V$78,2,FALSE),'English LRFD Working Area'!AS46:AT46)</f>
        <v>7.25</v>
      </c>
      <c r="V46" s="247">
        <f>MIN(VLOOKUP($P46,$U$76:$V$78,2,FALSE),'English LRFD Working Area'!AW46:AX46)</f>
        <v>6</v>
      </c>
      <c r="W46" s="246" t="str">
        <f>'English LRFD Working Area'!AY46</f>
        <v># 5</v>
      </c>
      <c r="X46" s="260">
        <f>'English LRFD Working Area'!BA46</f>
        <v>14</v>
      </c>
      <c r="Y46" s="237">
        <f>'English LRFD Working Area'!BB46</f>
        <v>14</v>
      </c>
      <c r="Z46" s="237">
        <f>'English LRFD Working Area'!BC46</f>
        <v>14</v>
      </c>
      <c r="AA46" s="237">
        <f>'English LRFD Working Area'!BD46</f>
        <v>14</v>
      </c>
      <c r="AB46" s="237">
        <f>'English LRFD Working Area'!BE46</f>
        <v>14</v>
      </c>
      <c r="AC46" s="261">
        <f>'English LRFD Working Area'!BF46</f>
        <v>14</v>
      </c>
      <c r="AF46" s="267">
        <f t="shared" si="7"/>
        <v>13</v>
      </c>
      <c r="AG46" s="270">
        <f t="shared" si="8"/>
        <v>10</v>
      </c>
      <c r="AH46" s="422">
        <f>'English LRFD Working Area'!BJ46</f>
        <v>6.5</v>
      </c>
      <c r="AI46" s="416">
        <f>'English LRFD Working Area'!BK46</f>
        <v>14.157894736842106</v>
      </c>
      <c r="AJ46" s="401">
        <f>'English LRFD Working Area'!BL46</f>
        <v>15.263157894736842</v>
      </c>
      <c r="AK46" s="401">
        <f>'English LRFD Working Area'!BM46</f>
        <v>14.947368463157893</v>
      </c>
      <c r="AL46" s="401">
        <f>'English LRFD Working Area'!BN46</f>
        <v>14.526315789473685</v>
      </c>
      <c r="AM46" s="401">
        <f>'English LRFD Working Area'!BO46</f>
        <v>13.578947368421051</v>
      </c>
      <c r="AN46" s="417">
        <f>'English LRFD Working Area'!BP46</f>
        <v>15.789473684210527</v>
      </c>
      <c r="AP46" s="267">
        <f t="shared" si="1"/>
        <v>13</v>
      </c>
      <c r="AQ46" s="470">
        <f>'English LRFD Working Area'!BR46</f>
        <v>0.6571313120969734</v>
      </c>
      <c r="AR46" s="464">
        <f>'English LRFD Working Area'!BS46</f>
        <v>0.63289155796070706</v>
      </c>
      <c r="AS46" s="464">
        <f>'English LRFD Working Area'!BT46</f>
        <v>0.63954208880642871</v>
      </c>
      <c r="AT46" s="464">
        <f>'English LRFD Working Area'!BU46</f>
        <v>0.64874460708154746</v>
      </c>
      <c r="AU46" s="464">
        <f>'English LRFD Working Area'!BV46</f>
        <v>0.67</v>
      </c>
      <c r="AV46" s="471">
        <f>'English LRFD Working Area'!BW46</f>
        <v>0.62225396744416184</v>
      </c>
    </row>
    <row r="47" spans="2:94" x14ac:dyDescent="0.2">
      <c r="L47" s="267">
        <f>'English LRFD Working Area'!C47</f>
        <v>13.25</v>
      </c>
      <c r="M47" s="270">
        <f>'English LRFD Working Area'!P47</f>
        <v>10</v>
      </c>
      <c r="N47" s="378" t="str">
        <f>'English LRFD Working Area'!Q47</f>
        <v># 6</v>
      </c>
      <c r="O47" s="247">
        <f>MIN('English LRFD Working Area'!Y47:Z47)</f>
        <v>9.75</v>
      </c>
      <c r="P47" s="378" t="str">
        <f>'English LRFD Working Area'!R47</f>
        <v># 6</v>
      </c>
      <c r="Q47" s="234">
        <f>MIN(VLOOKUP($P47,$U$76:$V$78,2,FALSE),'English LRFD Working Area'!AC47:AD47)</f>
        <v>6.75</v>
      </c>
      <c r="R47" s="234">
        <f>MIN(VLOOKUP($P47,$U$76:$V$78,2,FALSE),'English LRFD Working Area'!AG47:AH47)</f>
        <v>6</v>
      </c>
      <c r="S47" s="234">
        <f>MIN(VLOOKUP($P47,$U$76:$V$78,2,FALSE),'English LRFD Working Area'!AK47:AL47)</f>
        <v>6.25</v>
      </c>
      <c r="T47" s="234">
        <f>MIN(VLOOKUP($P47,$U$76:$V$78,2,FALSE),'English LRFD Working Area'!AO47:AP47)</f>
        <v>6.5</v>
      </c>
      <c r="U47" s="234">
        <f>MIN(VLOOKUP($P47,$U$76:$V$78,2,FALSE),'English LRFD Working Area'!AS47:AT47)</f>
        <v>7.25</v>
      </c>
      <c r="V47" s="247">
        <f>MIN(VLOOKUP($P47,$U$76:$V$78,2,FALSE),'English LRFD Working Area'!AW47:AX47)</f>
        <v>5.75</v>
      </c>
      <c r="W47" s="246" t="str">
        <f>'English LRFD Working Area'!AY47</f>
        <v># 5</v>
      </c>
      <c r="X47" s="260">
        <f>'English LRFD Working Area'!BA47</f>
        <v>14</v>
      </c>
      <c r="Y47" s="237">
        <f>'English LRFD Working Area'!BB47</f>
        <v>15</v>
      </c>
      <c r="Z47" s="237">
        <f>'English LRFD Working Area'!BC47</f>
        <v>15</v>
      </c>
      <c r="AA47" s="237">
        <f>'English LRFD Working Area'!BD47</f>
        <v>14</v>
      </c>
      <c r="AB47" s="237">
        <f>'English LRFD Working Area'!BE47</f>
        <v>14</v>
      </c>
      <c r="AC47" s="261">
        <f>'English LRFD Working Area'!BF47</f>
        <v>15</v>
      </c>
      <c r="AF47" s="267">
        <f t="shared" si="7"/>
        <v>13.25</v>
      </c>
      <c r="AG47" s="270">
        <f t="shared" si="8"/>
        <v>10</v>
      </c>
      <c r="AH47" s="422">
        <f>'English LRFD Working Area'!BJ47</f>
        <v>6.5</v>
      </c>
      <c r="AI47" s="416">
        <f>'English LRFD Working Area'!BK47</f>
        <v>14.473684210526317</v>
      </c>
      <c r="AJ47" s="401">
        <f>'English LRFD Working Area'!BL47</f>
        <v>15.578947368421053</v>
      </c>
      <c r="AK47" s="401">
        <f>'English LRFD Working Area'!BM47</f>
        <v>15.263157936842106</v>
      </c>
      <c r="AL47" s="401">
        <f>'English LRFD Working Area'!BN47</f>
        <v>14.842105263157896</v>
      </c>
      <c r="AM47" s="401">
        <f>'English LRFD Working Area'!BO47</f>
        <v>13.894736842105264</v>
      </c>
      <c r="AN47" s="417">
        <f>'English LRFD Working Area'!BP47</f>
        <v>16.105263157894736</v>
      </c>
      <c r="AP47" s="267">
        <f t="shared" si="1"/>
        <v>13.25</v>
      </c>
      <c r="AQ47" s="470">
        <f>'English LRFD Working Area'!BR47</f>
        <v>0.64992307237087688</v>
      </c>
      <c r="AR47" s="464">
        <f>'English LRFD Working Area'!BS47</f>
        <v>0.6264442771966493</v>
      </c>
      <c r="AS47" s="464">
        <f>'English LRFD Working Area'!BT47</f>
        <v>0.63289155708775324</v>
      </c>
      <c r="AT47" s="464">
        <f>'English LRFD Working Area'!BU47</f>
        <v>0.64180596259073608</v>
      </c>
      <c r="AU47" s="464">
        <f>'English LRFD Working Area'!BV47</f>
        <v>0.66332495807108005</v>
      </c>
      <c r="AV47" s="471">
        <f>'English LRFD Working Area'!BW47</f>
        <v>0.6161232369723243</v>
      </c>
      <c r="BH47" t="s">
        <v>10</v>
      </c>
    </row>
    <row r="48" spans="2:94" x14ac:dyDescent="0.2">
      <c r="L48" s="267">
        <f>'English LRFD Working Area'!C48</f>
        <v>13.5</v>
      </c>
      <c r="M48" s="270">
        <f>'English LRFD Working Area'!P48</f>
        <v>10</v>
      </c>
      <c r="N48" s="378" t="str">
        <f>'English LRFD Working Area'!Q48</f>
        <v># 6</v>
      </c>
      <c r="O48" s="247">
        <f>MIN('English LRFD Working Area'!Y48:Z48)</f>
        <v>9.5</v>
      </c>
      <c r="P48" s="378" t="str">
        <f>'English LRFD Working Area'!R48</f>
        <v># 6</v>
      </c>
      <c r="Q48" s="234">
        <f>MIN(VLOOKUP($P48,$U$76:$V$78,2,FALSE),'English LRFD Working Area'!AC48:AD48)</f>
        <v>6.75</v>
      </c>
      <c r="R48" s="234">
        <f>MIN(VLOOKUP($P48,$U$76:$V$78,2,FALSE),'English LRFD Working Area'!AG48:AH48)</f>
        <v>6</v>
      </c>
      <c r="S48" s="234">
        <f>MIN(VLOOKUP($P48,$U$76:$V$78,2,FALSE),'English LRFD Working Area'!AK48:AL48)</f>
        <v>6</v>
      </c>
      <c r="T48" s="234">
        <f>MIN(VLOOKUP($P48,$U$76:$V$78,2,FALSE),'English LRFD Working Area'!AO48:AP48)</f>
        <v>6.5</v>
      </c>
      <c r="U48" s="234">
        <f>MIN(VLOOKUP($P48,$U$76:$V$78,2,FALSE),'English LRFD Working Area'!AS48:AT48)</f>
        <v>7</v>
      </c>
      <c r="V48" s="247">
        <f>MIN(VLOOKUP($P48,$U$76:$V$78,2,FALSE),'English LRFD Working Area'!AW48:AX48)</f>
        <v>5.75</v>
      </c>
      <c r="W48" s="246" t="str">
        <f>'English LRFD Working Area'!AY48</f>
        <v># 5</v>
      </c>
      <c r="X48" s="260">
        <f>'English LRFD Working Area'!BA48</f>
        <v>15</v>
      </c>
      <c r="Y48" s="237">
        <f>'English LRFD Working Area'!BB48</f>
        <v>15</v>
      </c>
      <c r="Z48" s="237">
        <f>'English LRFD Working Area'!BC48</f>
        <v>15</v>
      </c>
      <c r="AA48" s="237">
        <f>'English LRFD Working Area'!BD48</f>
        <v>15</v>
      </c>
      <c r="AB48" s="237">
        <f>'English LRFD Working Area'!BE48</f>
        <v>14</v>
      </c>
      <c r="AC48" s="261">
        <f>'English LRFD Working Area'!BF48</f>
        <v>15</v>
      </c>
      <c r="AF48" s="267">
        <f t="shared" si="7"/>
        <v>13.5</v>
      </c>
      <c r="AG48" s="270">
        <f t="shared" si="8"/>
        <v>10</v>
      </c>
      <c r="AH48" s="422">
        <f>'English LRFD Working Area'!BJ48</f>
        <v>6.5</v>
      </c>
      <c r="AI48" s="416">
        <f>'English LRFD Working Area'!BK48</f>
        <v>14.789473684210527</v>
      </c>
      <c r="AJ48" s="401">
        <f>'English LRFD Working Area'!BL48</f>
        <v>15.894736842105264</v>
      </c>
      <c r="AK48" s="401">
        <f>'English LRFD Working Area'!BM48</f>
        <v>15.578947410526316</v>
      </c>
      <c r="AL48" s="401">
        <f>'English LRFD Working Area'!BN48</f>
        <v>15.157894736842104</v>
      </c>
      <c r="AM48" s="401">
        <f>'English LRFD Working Area'!BO48</f>
        <v>14.210526315789473</v>
      </c>
      <c r="AN48" s="417">
        <f>'English LRFD Working Area'!BP48</f>
        <v>16.421052631578949</v>
      </c>
      <c r="AP48" s="267">
        <f t="shared" si="1"/>
        <v>13.5</v>
      </c>
      <c r="AQ48" s="470">
        <f>'English LRFD Working Area'!BR48</f>
        <v>0.64294695186939765</v>
      </c>
      <c r="AR48" s="464">
        <f>'English LRFD Working Area'!BS48</f>
        <v>0.62019010117012019</v>
      </c>
      <c r="AS48" s="464">
        <f>'English LRFD Working Area'!BT48</f>
        <v>0.62644427635010302</v>
      </c>
      <c r="AT48" s="464">
        <f>'English LRFD Working Area'!BU48</f>
        <v>0.63508529610858833</v>
      </c>
      <c r="AU48" s="464">
        <f>'English LRFD Working Area'!BV48</f>
        <v>0.65591327339993821</v>
      </c>
      <c r="AV48" s="471">
        <f>'English LRFD Working Area'!BW48</f>
        <v>0.61017021584775211</v>
      </c>
      <c r="BH48" t="s">
        <v>11</v>
      </c>
    </row>
    <row r="49" spans="2:60" ht="13.5" thickBot="1" x14ac:dyDescent="0.25">
      <c r="L49" s="267">
        <f>'English LRFD Working Area'!C49</f>
        <v>13.75</v>
      </c>
      <c r="M49" s="270">
        <f>'English LRFD Working Area'!P49</f>
        <v>10.5</v>
      </c>
      <c r="N49" s="378" t="str">
        <f>'English LRFD Working Area'!Q49</f>
        <v># 6</v>
      </c>
      <c r="O49" s="247">
        <f>MIN('English LRFD Working Area'!Y49:Z49)</f>
        <v>9.75</v>
      </c>
      <c r="P49" s="378" t="str">
        <f>'English LRFD Working Area'!R49</f>
        <v># 6</v>
      </c>
      <c r="Q49" s="234">
        <f>MIN(VLOOKUP($P49,$U$76:$V$78,2,FALSE),'English LRFD Working Area'!AC49:AD49)</f>
        <v>7</v>
      </c>
      <c r="R49" s="234">
        <f>MIN(VLOOKUP($P49,$U$76:$V$78,2,FALSE),'English LRFD Working Area'!AG49:AH49)</f>
        <v>6.25</v>
      </c>
      <c r="S49" s="234">
        <f>MIN(VLOOKUP($P49,$U$76:$V$78,2,FALSE),'English LRFD Working Area'!AK49:AL49)</f>
        <v>6.25</v>
      </c>
      <c r="T49" s="234">
        <f>MIN(VLOOKUP($P49,$U$76:$V$78,2,FALSE),'English LRFD Working Area'!AO49:AP49)</f>
        <v>6.75</v>
      </c>
      <c r="U49" s="234">
        <f>MIN(VLOOKUP($P49,$U$76:$V$78,2,FALSE),'English LRFD Working Area'!AS49:AT49)</f>
        <v>7.25</v>
      </c>
      <c r="V49" s="247">
        <f>MIN(VLOOKUP($P49,$U$76:$V$78,2,FALSE),'English LRFD Working Area'!AW49:AX49)</f>
        <v>6</v>
      </c>
      <c r="W49" s="246" t="str">
        <f>'English LRFD Working Area'!AY49</f>
        <v># 5</v>
      </c>
      <c r="X49" s="260">
        <f>'English LRFD Working Area'!BA49</f>
        <v>14</v>
      </c>
      <c r="Y49" s="237">
        <f>'English LRFD Working Area'!BB49</f>
        <v>15</v>
      </c>
      <c r="Z49" s="237">
        <f>'English LRFD Working Area'!BC49</f>
        <v>15</v>
      </c>
      <c r="AA49" s="237">
        <f>'English LRFD Working Area'!BD49</f>
        <v>14</v>
      </c>
      <c r="AB49" s="237">
        <f>'English LRFD Working Area'!BE49</f>
        <v>14</v>
      </c>
      <c r="AC49" s="261">
        <f>'English LRFD Working Area'!BF49</f>
        <v>15</v>
      </c>
      <c r="AF49" s="267">
        <f t="shared" si="7"/>
        <v>13.75</v>
      </c>
      <c r="AG49" s="270">
        <f t="shared" si="8"/>
        <v>10.5</v>
      </c>
      <c r="AH49" s="422">
        <f>'English LRFD Working Area'!BJ49</f>
        <v>7</v>
      </c>
      <c r="AI49" s="416">
        <f>'English LRFD Working Area'!BK49</f>
        <v>14.35</v>
      </c>
      <c r="AJ49" s="401">
        <f>'English LRFD Working Area'!BL49</f>
        <v>15.400000000000002</v>
      </c>
      <c r="AK49" s="401">
        <f>'English LRFD Working Area'!BM49</f>
        <v>15.100000040000001</v>
      </c>
      <c r="AL49" s="401">
        <f>'English LRFD Working Area'!BN49</f>
        <v>14.700000000000001</v>
      </c>
      <c r="AM49" s="401">
        <f>'English LRFD Working Area'!BO49</f>
        <v>13.799999999999999</v>
      </c>
      <c r="AN49" s="417">
        <f>'English LRFD Working Area'!BP49</f>
        <v>15.899999999999999</v>
      </c>
      <c r="AP49" s="267">
        <f t="shared" si="1"/>
        <v>13.75</v>
      </c>
      <c r="AQ49" s="470">
        <f>'English LRFD Working Area'!BR49</f>
        <v>0.63619075437968142</v>
      </c>
      <c r="AR49" s="464">
        <f>'English LRFD Working Area'!BS49</f>
        <v>0.61411957886299073</v>
      </c>
      <c r="AS49" s="464">
        <f>'English LRFD Working Area'!BT49</f>
        <v>0.62019010034867639</v>
      </c>
      <c r="AT49" s="464">
        <f>'English LRFD Working Area'!BU49</f>
        <v>0.62857142857142856</v>
      </c>
      <c r="AU49" s="464">
        <f>'English LRFD Working Area'!BV49</f>
        <v>0.64874460708154746</v>
      </c>
      <c r="AV49" s="471">
        <f>'English LRFD Working Area'!BW49</f>
        <v>0.60438648137423168</v>
      </c>
      <c r="BH49" t="s">
        <v>12</v>
      </c>
    </row>
    <row r="50" spans="2:60" x14ac:dyDescent="0.2">
      <c r="B50" s="3" t="s">
        <v>16</v>
      </c>
      <c r="C50" s="5"/>
      <c r="D50" s="3"/>
      <c r="E50" s="4"/>
      <c r="F50" s="51" t="s">
        <v>20</v>
      </c>
      <c r="G50" s="5">
        <v>8.5</v>
      </c>
      <c r="L50" s="267">
        <f>'English LRFD Working Area'!C50</f>
        <v>14</v>
      </c>
      <c r="M50" s="270">
        <f>'English LRFD Working Area'!P50</f>
        <v>10.5</v>
      </c>
      <c r="N50" s="378" t="str">
        <f>'English LRFD Working Area'!Q50</f>
        <v># 6</v>
      </c>
      <c r="O50" s="247">
        <f>MIN('English LRFD Working Area'!Y50:Z50)</f>
        <v>9.75</v>
      </c>
      <c r="P50" s="378" t="str">
        <f>'English LRFD Working Area'!R50</f>
        <v># 6</v>
      </c>
      <c r="Q50" s="234">
        <f>MIN(VLOOKUP($P50,$U$76:$V$78,2,FALSE),'English LRFD Working Area'!AC50:AD50)</f>
        <v>6.75</v>
      </c>
      <c r="R50" s="234">
        <f>MIN(VLOOKUP($P50,$U$76:$V$78,2,FALSE),'English LRFD Working Area'!AG50:AH50)</f>
        <v>6</v>
      </c>
      <c r="S50" s="234">
        <f>MIN(VLOOKUP($P50,$U$76:$V$78,2,FALSE),'English LRFD Working Area'!AK50:AL50)</f>
        <v>6.25</v>
      </c>
      <c r="T50" s="234">
        <f>MIN(VLOOKUP($P50,$U$76:$V$78,2,FALSE),'English LRFD Working Area'!AO50:AP50)</f>
        <v>6.5</v>
      </c>
      <c r="U50" s="234">
        <f>MIN(VLOOKUP($P50,$U$76:$V$78,2,FALSE),'English LRFD Working Area'!AS50:AT50)</f>
        <v>7</v>
      </c>
      <c r="V50" s="247">
        <f>MIN(VLOOKUP($P50,$U$76:$V$78,2,FALSE),'English LRFD Working Area'!AW50:AX50)</f>
        <v>6</v>
      </c>
      <c r="W50" s="246" t="str">
        <f>'English LRFD Working Area'!AY50</f>
        <v># 5</v>
      </c>
      <c r="X50" s="260">
        <f>'English LRFD Working Area'!BA50</f>
        <v>15</v>
      </c>
      <c r="Y50" s="237">
        <f>'English LRFD Working Area'!BB50</f>
        <v>15</v>
      </c>
      <c r="Z50" s="237">
        <f>'English LRFD Working Area'!BC50</f>
        <v>15</v>
      </c>
      <c r="AA50" s="237">
        <f>'English LRFD Working Area'!BD50</f>
        <v>15</v>
      </c>
      <c r="AB50" s="237">
        <f>'English LRFD Working Area'!BE50</f>
        <v>14</v>
      </c>
      <c r="AC50" s="261">
        <f>'English LRFD Working Area'!BF50</f>
        <v>15</v>
      </c>
      <c r="AF50" s="267">
        <f t="shared" si="7"/>
        <v>14</v>
      </c>
      <c r="AG50" s="270">
        <f t="shared" si="8"/>
        <v>10.5</v>
      </c>
      <c r="AH50" s="422">
        <f>'English LRFD Working Area'!BJ50</f>
        <v>7</v>
      </c>
      <c r="AI50" s="416">
        <f>'English LRFD Working Area'!BK50</f>
        <v>14.650000000000002</v>
      </c>
      <c r="AJ50" s="401">
        <f>'English LRFD Working Area'!BL50</f>
        <v>15.7</v>
      </c>
      <c r="AK50" s="401">
        <f>'English LRFD Working Area'!BM50</f>
        <v>15.400000039999998</v>
      </c>
      <c r="AL50" s="401">
        <f>'English LRFD Working Area'!BN50</f>
        <v>15</v>
      </c>
      <c r="AM50" s="401">
        <f>'English LRFD Working Area'!BO50</f>
        <v>14.100000000000001</v>
      </c>
      <c r="AN50" s="417">
        <f>'English LRFD Working Area'!BP50</f>
        <v>16.200000000000003</v>
      </c>
      <c r="AP50" s="267">
        <f t="shared" si="1"/>
        <v>14</v>
      </c>
      <c r="AQ50" s="470">
        <f>'English LRFD Working Area'!BR50</f>
        <v>0.62964316239072471</v>
      </c>
      <c r="AR50" s="464">
        <f>'English LRFD Working Area'!BS50</f>
        <v>0.60822389441100067</v>
      </c>
      <c r="AS50" s="464">
        <f>'English LRFD Working Area'!BT50</f>
        <v>0.61411957806543283</v>
      </c>
      <c r="AT50" s="464">
        <f>'English LRFD Working Area'!BU50</f>
        <v>0.62225396744416184</v>
      </c>
      <c r="AU50" s="464">
        <f>'English LRFD Working Area'!BV50</f>
        <v>0.64180596259073608</v>
      </c>
      <c r="AV50" s="471">
        <f>'English LRFD Working Area'!BW50</f>
        <v>0.59876415934699911</v>
      </c>
    </row>
    <row r="51" spans="2:60" ht="13.5" thickBot="1" x14ac:dyDescent="0.25">
      <c r="B51" s="10" t="s">
        <v>40</v>
      </c>
      <c r="C51" s="48">
        <v>18</v>
      </c>
      <c r="D51" s="35"/>
      <c r="E51" s="36"/>
      <c r="F51" s="57" t="s">
        <v>634</v>
      </c>
      <c r="G51" s="13">
        <v>1.5</v>
      </c>
      <c r="L51" s="267">
        <f>'English LRFD Working Area'!C51</f>
        <v>14.25</v>
      </c>
      <c r="M51" s="270">
        <f>'English LRFD Working Area'!P51</f>
        <v>10.5</v>
      </c>
      <c r="N51" s="378" t="str">
        <f>'English LRFD Working Area'!Q51</f>
        <v># 6</v>
      </c>
      <c r="O51" s="247">
        <f>MIN('English LRFD Working Area'!Y51:Z51)</f>
        <v>9.5</v>
      </c>
      <c r="P51" s="378" t="str">
        <f>'English LRFD Working Area'!R51</f>
        <v># 6</v>
      </c>
      <c r="Q51" s="234">
        <f>MIN(VLOOKUP($P51,$U$76:$V$78,2,FALSE),'English LRFD Working Area'!AC51:AD51)</f>
        <v>6.75</v>
      </c>
      <c r="R51" s="234">
        <f>MIN(VLOOKUP($P51,$U$76:$V$78,2,FALSE),'English LRFD Working Area'!AG51:AH51)</f>
        <v>6</v>
      </c>
      <c r="S51" s="234">
        <f>MIN(VLOOKUP($P51,$U$76:$V$78,2,FALSE),'English LRFD Working Area'!AK51:AL51)</f>
        <v>6.25</v>
      </c>
      <c r="T51" s="234">
        <f>MIN(VLOOKUP($P51,$U$76:$V$78,2,FALSE),'English LRFD Working Area'!AO51:AP51)</f>
        <v>6.5</v>
      </c>
      <c r="U51" s="234">
        <f>MIN(VLOOKUP($P51,$U$76:$V$78,2,FALSE),'English LRFD Working Area'!AS51:AT51)</f>
        <v>7</v>
      </c>
      <c r="V51" s="247">
        <f>MIN(VLOOKUP($P51,$U$76:$V$78,2,FALSE),'English LRFD Working Area'!AW51:AX51)</f>
        <v>5.75</v>
      </c>
      <c r="W51" s="246" t="str">
        <f>'English LRFD Working Area'!AY51</f>
        <v># 5</v>
      </c>
      <c r="X51" s="260">
        <f>'English LRFD Working Area'!BA51</f>
        <v>15</v>
      </c>
      <c r="Y51" s="237">
        <f>'English LRFD Working Area'!BB51</f>
        <v>15</v>
      </c>
      <c r="Z51" s="237">
        <f>'English LRFD Working Area'!BC51</f>
        <v>15</v>
      </c>
      <c r="AA51" s="237">
        <f>'English LRFD Working Area'!BD51</f>
        <v>15</v>
      </c>
      <c r="AB51" s="237">
        <f>'English LRFD Working Area'!BE51</f>
        <v>15</v>
      </c>
      <c r="AC51" s="261">
        <f>'English LRFD Working Area'!BF51</f>
        <v>16</v>
      </c>
      <c r="AF51" s="267">
        <f t="shared" si="7"/>
        <v>14.25</v>
      </c>
      <c r="AG51" s="270">
        <f t="shared" si="8"/>
        <v>10.5</v>
      </c>
      <c r="AH51" s="422">
        <f>'English LRFD Working Area'!BJ51</f>
        <v>7</v>
      </c>
      <c r="AI51" s="416">
        <f>'English LRFD Working Area'!BK51</f>
        <v>14.95</v>
      </c>
      <c r="AJ51" s="401">
        <f>'English LRFD Working Area'!BL51</f>
        <v>16</v>
      </c>
      <c r="AK51" s="401">
        <f>'English LRFD Working Area'!BM51</f>
        <v>15.700000040000001</v>
      </c>
      <c r="AL51" s="401">
        <f>'English LRFD Working Area'!BN51</f>
        <v>15.299999999999999</v>
      </c>
      <c r="AM51" s="401">
        <f>'English LRFD Working Area'!BO51</f>
        <v>14.399999999999999</v>
      </c>
      <c r="AN51" s="417">
        <f>'English LRFD Working Area'!BP51</f>
        <v>16.5</v>
      </c>
      <c r="AP51" s="267">
        <f t="shared" si="1"/>
        <v>14.25</v>
      </c>
      <c r="AQ51" s="470">
        <f>'English LRFD Working Area'!BR51</f>
        <v>0.62329365733784903</v>
      </c>
      <c r="AR51" s="464">
        <f>'English LRFD Working Area'!BS51</f>
        <v>0.60249481325568266</v>
      </c>
      <c r="AS51" s="464">
        <f>'English LRFD Working Area'!BT51</f>
        <v>0.60822389363619311</v>
      </c>
      <c r="AT51" s="464">
        <f>'English LRFD Working Area'!BU51</f>
        <v>0.6161232369723243</v>
      </c>
      <c r="AU51" s="464">
        <f>'English LRFD Working Area'!BV51</f>
        <v>0.63508529610858833</v>
      </c>
      <c r="AV51" s="471">
        <f>'English LRFD Working Area'!BW51</f>
        <v>0.59329587896765301</v>
      </c>
      <c r="BH51" t="s">
        <v>8</v>
      </c>
    </row>
    <row r="52" spans="2:60" ht="13.5" thickBot="1" x14ac:dyDescent="0.25">
      <c r="L52" s="267">
        <f>'English LRFD Working Area'!C52</f>
        <v>14.5</v>
      </c>
      <c r="M52" s="270">
        <f>'English LRFD Working Area'!P52</f>
        <v>11</v>
      </c>
      <c r="N52" s="378" t="str">
        <f>'English LRFD Working Area'!Q52</f>
        <v># 6</v>
      </c>
      <c r="O52" s="247">
        <f>MIN('English LRFD Working Area'!Y52:Z52)</f>
        <v>9.75</v>
      </c>
      <c r="P52" s="378" t="str">
        <f>'English LRFD Working Area'!R52</f>
        <v># 6</v>
      </c>
      <c r="Q52" s="234">
        <f>MIN(VLOOKUP($P52,$U$76:$V$78,2,FALSE),'English LRFD Working Area'!AC52:AD52)</f>
        <v>7</v>
      </c>
      <c r="R52" s="234">
        <f>MIN(VLOOKUP($P52,$U$76:$V$78,2,FALSE),'English LRFD Working Area'!AG52:AH52)</f>
        <v>6.25</v>
      </c>
      <c r="S52" s="234">
        <f>MIN(VLOOKUP($P52,$U$76:$V$78,2,FALSE),'English LRFD Working Area'!AK52:AL52)</f>
        <v>6.25</v>
      </c>
      <c r="T52" s="234">
        <f>MIN(VLOOKUP($P52,$U$76:$V$78,2,FALSE),'English LRFD Working Area'!AO52:AP52)</f>
        <v>6.75</v>
      </c>
      <c r="U52" s="234">
        <f>MIN(VLOOKUP($P52,$U$76:$V$78,2,FALSE),'English LRFD Working Area'!AS52:AT52)</f>
        <v>7.25</v>
      </c>
      <c r="V52" s="247">
        <f>MIN(VLOOKUP($P52,$U$76:$V$78,2,FALSE),'English LRFD Working Area'!AW52:AX52)</f>
        <v>6</v>
      </c>
      <c r="W52" s="246" t="str">
        <f>'English LRFD Working Area'!AY52</f>
        <v># 5</v>
      </c>
      <c r="X52" s="260">
        <f>'English LRFD Working Area'!BA52</f>
        <v>15</v>
      </c>
      <c r="Y52" s="237">
        <f>'English LRFD Working Area'!BB52</f>
        <v>15</v>
      </c>
      <c r="Z52" s="237">
        <f>'English LRFD Working Area'!BC52</f>
        <v>15</v>
      </c>
      <c r="AA52" s="237">
        <f>'English LRFD Working Area'!BD52</f>
        <v>15</v>
      </c>
      <c r="AB52" s="237">
        <f>'English LRFD Working Area'!BE52</f>
        <v>14</v>
      </c>
      <c r="AC52" s="261">
        <f>'English LRFD Working Area'!BF52</f>
        <v>15</v>
      </c>
      <c r="AF52" s="267">
        <f t="shared" si="7"/>
        <v>14.5</v>
      </c>
      <c r="AG52" s="270">
        <f t="shared" si="8"/>
        <v>11</v>
      </c>
      <c r="AH52" s="422">
        <f>'English LRFD Working Area'!BJ52</f>
        <v>7.5</v>
      </c>
      <c r="AI52" s="416">
        <f>'English LRFD Working Area'!BK52</f>
        <v>14.523809523809526</v>
      </c>
      <c r="AJ52" s="401">
        <f>'English LRFD Working Area'!BL52</f>
        <v>15.523809523809526</v>
      </c>
      <c r="AK52" s="401">
        <f>'English LRFD Working Area'!BM52</f>
        <v>15.238095276190476</v>
      </c>
      <c r="AL52" s="401">
        <f>'English LRFD Working Area'!BN52</f>
        <v>14.857142857142858</v>
      </c>
      <c r="AM52" s="401">
        <f>'English LRFD Working Area'!BO52</f>
        <v>14</v>
      </c>
      <c r="AN52" s="417">
        <f>'English LRFD Working Area'!BP52</f>
        <v>16</v>
      </c>
      <c r="AP52" s="267">
        <f t="shared" si="1"/>
        <v>14.5</v>
      </c>
      <c r="AQ52" s="470">
        <f>'English LRFD Working Area'!BR52</f>
        <v>0.61713244852008342</v>
      </c>
      <c r="AR52" s="464">
        <f>'English LRFD Working Area'!BS52</f>
        <v>0.59692463377289762</v>
      </c>
      <c r="AS52" s="464">
        <f>'English LRFD Working Area'!BT52</f>
        <v>0.6024948125025642</v>
      </c>
      <c r="AT52" s="464">
        <f>'English LRFD Working Area'!BU52</f>
        <v>0.61017021584775211</v>
      </c>
      <c r="AU52" s="464">
        <f>'English LRFD Working Area'!BV52</f>
        <v>0.62857142857142856</v>
      </c>
      <c r="AV52" s="471">
        <f>'English LRFD Working Area'!BW52</f>
        <v>0.58797473220733365</v>
      </c>
      <c r="BH52" t="s">
        <v>9</v>
      </c>
    </row>
    <row r="53" spans="2:60" x14ac:dyDescent="0.2">
      <c r="B53" s="72" t="s">
        <v>99</v>
      </c>
      <c r="C53" s="4"/>
      <c r="D53" s="4"/>
      <c r="E53" s="4"/>
      <c r="F53" s="4"/>
      <c r="G53" s="5"/>
      <c r="L53" s="267">
        <f>'English LRFD Working Area'!C53</f>
        <v>14.75</v>
      </c>
      <c r="M53" s="270">
        <f>'English LRFD Working Area'!P53</f>
        <v>11</v>
      </c>
      <c r="N53" s="378" t="str">
        <f>'English LRFD Working Area'!Q53</f>
        <v># 6</v>
      </c>
      <c r="O53" s="247">
        <f>MIN('English LRFD Working Area'!Y53:Z53)</f>
        <v>9.75</v>
      </c>
      <c r="P53" s="378" t="str">
        <f>'English LRFD Working Area'!R53</f>
        <v># 6</v>
      </c>
      <c r="Q53" s="234">
        <f>MIN(VLOOKUP($P53,$U$76:$V$78,2,FALSE),'English LRFD Working Area'!AC53:AD53)</f>
        <v>6.75</v>
      </c>
      <c r="R53" s="234">
        <f>MIN(VLOOKUP($P53,$U$76:$V$78,2,FALSE),'English LRFD Working Area'!AG53:AH53)</f>
        <v>6.25</v>
      </c>
      <c r="S53" s="234">
        <f>MIN(VLOOKUP($P53,$U$76:$V$78,2,FALSE),'English LRFD Working Area'!AK53:AL53)</f>
        <v>6.25</v>
      </c>
      <c r="T53" s="234">
        <f>MIN(VLOOKUP($P53,$U$76:$V$78,2,FALSE),'English LRFD Working Area'!AO53:AP53)</f>
        <v>6.5</v>
      </c>
      <c r="U53" s="234">
        <f>MIN(VLOOKUP($P53,$U$76:$V$78,2,FALSE),'English LRFD Working Area'!AS53:AT53)</f>
        <v>7</v>
      </c>
      <c r="V53" s="247">
        <f>MIN(VLOOKUP($P53,$U$76:$V$78,2,FALSE),'English LRFD Working Area'!AW53:AX53)</f>
        <v>6</v>
      </c>
      <c r="W53" s="246" t="str">
        <f>'English LRFD Working Area'!AY53</f>
        <v># 5</v>
      </c>
      <c r="X53" s="260">
        <f>'English LRFD Working Area'!BA53</f>
        <v>15</v>
      </c>
      <c r="Y53" s="237">
        <f>'English LRFD Working Area'!BB53</f>
        <v>15</v>
      </c>
      <c r="Z53" s="237">
        <f>'English LRFD Working Area'!BC53</f>
        <v>15</v>
      </c>
      <c r="AA53" s="237">
        <f>'English LRFD Working Area'!BD53</f>
        <v>15</v>
      </c>
      <c r="AB53" s="237">
        <f>'English LRFD Working Area'!BE53</f>
        <v>15</v>
      </c>
      <c r="AC53" s="261">
        <f>'English LRFD Working Area'!BF53</f>
        <v>16</v>
      </c>
      <c r="AF53" s="267">
        <f t="shared" si="7"/>
        <v>14.75</v>
      </c>
      <c r="AG53" s="270">
        <f t="shared" si="8"/>
        <v>11</v>
      </c>
      <c r="AH53" s="422">
        <f>'English LRFD Working Area'!BJ53</f>
        <v>7.5</v>
      </c>
      <c r="AI53" s="416">
        <f>'English LRFD Working Area'!BK53</f>
        <v>14.80952380952381</v>
      </c>
      <c r="AJ53" s="401">
        <f>'English LRFD Working Area'!BL53</f>
        <v>15.80952380952381</v>
      </c>
      <c r="AK53" s="401">
        <f>'English LRFD Working Area'!BM53</f>
        <v>15.523809561904761</v>
      </c>
      <c r="AL53" s="401">
        <f>'English LRFD Working Area'!BN53</f>
        <v>15.142857142857142</v>
      </c>
      <c r="AM53" s="401">
        <f>'English LRFD Working Area'!BO53</f>
        <v>14.285714285714285</v>
      </c>
      <c r="AN53" s="417">
        <f>'English LRFD Working Area'!BP53</f>
        <v>16.285714285714285</v>
      </c>
      <c r="AP53" s="267">
        <f t="shared" si="1"/>
        <v>14.75</v>
      </c>
      <c r="AQ53" s="470">
        <f>'English LRFD Working Area'!BR53</f>
        <v>0.6111504095974456</v>
      </c>
      <c r="AR53" s="464">
        <f>'English LRFD Working Area'!BS53</f>
        <v>0.59150614373165145</v>
      </c>
      <c r="AS53" s="464">
        <f>'English LRFD Working Area'!BT53</f>
        <v>0.59692463304047483</v>
      </c>
      <c r="AT53" s="464">
        <f>'English LRFD Working Area'!BU53</f>
        <v>0.60438648137423168</v>
      </c>
      <c r="AU53" s="464">
        <f>'English LRFD Working Area'!BV53</f>
        <v>0.62225396744416184</v>
      </c>
      <c r="AV53" s="471">
        <f>'English LRFD Working Area'!BW53</f>
        <v>0.58279423710861922</v>
      </c>
    </row>
    <row r="54" spans="2:60" ht="13.5" thickBot="1" x14ac:dyDescent="0.25">
      <c r="B54" s="37" t="s">
        <v>7</v>
      </c>
      <c r="C54" s="38" t="s">
        <v>24</v>
      </c>
      <c r="D54" s="38" t="s">
        <v>118</v>
      </c>
      <c r="E54" s="38" t="s">
        <v>63</v>
      </c>
      <c r="F54" s="38" t="s">
        <v>64</v>
      </c>
      <c r="G54" s="7" t="s">
        <v>65</v>
      </c>
      <c r="L54" s="268">
        <f>'English LRFD Working Area'!C54</f>
        <v>15</v>
      </c>
      <c r="M54" s="271">
        <f>'English LRFD Working Area'!P54</f>
        <v>11</v>
      </c>
      <c r="N54" s="379" t="str">
        <f>'English LRFD Working Area'!Q54</f>
        <v># 6</v>
      </c>
      <c r="O54" s="250">
        <f>MIN('English LRFD Working Area'!Y54:Z54)</f>
        <v>9.75</v>
      </c>
      <c r="P54" s="379" t="str">
        <f>'English LRFD Working Area'!R54</f>
        <v># 6</v>
      </c>
      <c r="Q54" s="249">
        <f>MIN(VLOOKUP($P54,$U$76:$V$78,2,FALSE),'English LRFD Working Area'!AC54:AD54)</f>
        <v>6.75</v>
      </c>
      <c r="R54" s="249">
        <f>MIN(VLOOKUP($P54,$U$76:$V$78,2,FALSE),'English LRFD Working Area'!AG54:AH54)</f>
        <v>6</v>
      </c>
      <c r="S54" s="249">
        <f>MIN(VLOOKUP($P54,$U$76:$V$78,2,FALSE),'English LRFD Working Area'!AK54:AL54)</f>
        <v>6.25</v>
      </c>
      <c r="T54" s="249">
        <f>MIN(VLOOKUP($P54,$U$76:$V$78,2,FALSE),'English LRFD Working Area'!AO54:AP54)</f>
        <v>6.5</v>
      </c>
      <c r="U54" s="249">
        <f>MIN(VLOOKUP($P54,$U$76:$V$78,2,FALSE),'English LRFD Working Area'!AS54:AT54)</f>
        <v>7</v>
      </c>
      <c r="V54" s="250">
        <f>MIN(VLOOKUP($P54,$U$76:$V$78,2,FALSE),'English LRFD Working Area'!AW54:AX54)</f>
        <v>6</v>
      </c>
      <c r="W54" s="248" t="str">
        <f>'English LRFD Working Area'!AY54</f>
        <v># 5</v>
      </c>
      <c r="X54" s="262">
        <f>'English LRFD Working Area'!BA54</f>
        <v>15</v>
      </c>
      <c r="Y54" s="263">
        <f>'English LRFD Working Area'!BB54</f>
        <v>16</v>
      </c>
      <c r="Z54" s="263">
        <f>'English LRFD Working Area'!BC54</f>
        <v>16</v>
      </c>
      <c r="AA54" s="263">
        <f>'English LRFD Working Area'!BD54</f>
        <v>15</v>
      </c>
      <c r="AB54" s="263">
        <f>'English LRFD Working Area'!BE54</f>
        <v>15</v>
      </c>
      <c r="AC54" s="264">
        <f>'English LRFD Working Area'!BF54</f>
        <v>16</v>
      </c>
      <c r="AF54" s="268">
        <f t="shared" si="7"/>
        <v>15</v>
      </c>
      <c r="AG54" s="271">
        <f t="shared" si="8"/>
        <v>11</v>
      </c>
      <c r="AH54" s="423">
        <f>'English LRFD Working Area'!BJ54</f>
        <v>7.5</v>
      </c>
      <c r="AI54" s="418">
        <f>'English LRFD Working Area'!BK54</f>
        <v>15.095238095238095</v>
      </c>
      <c r="AJ54" s="419">
        <f>'English LRFD Working Area'!BL54</f>
        <v>16.095238095238095</v>
      </c>
      <c r="AK54" s="419">
        <f>'English LRFD Working Area'!BM54</f>
        <v>15.809523847619047</v>
      </c>
      <c r="AL54" s="419">
        <f>'English LRFD Working Area'!BN54</f>
        <v>15.428571428571431</v>
      </c>
      <c r="AM54" s="419">
        <f>'English LRFD Working Area'!BO54</f>
        <v>14.571428571428569</v>
      </c>
      <c r="AN54" s="420">
        <f>'English LRFD Working Area'!BP54</f>
        <v>16.571428571428569</v>
      </c>
      <c r="AP54" s="268">
        <f t="shared" si="1"/>
        <v>15</v>
      </c>
      <c r="AQ54" s="472">
        <f>'English LRFD Working Area'!BR54</f>
        <v>0.60533902173103293</v>
      </c>
      <c r="AR54" s="473">
        <f>'English LRFD Working Area'!BS54</f>
        <v>0.58623258102331233</v>
      </c>
      <c r="AS54" s="473">
        <f>'English LRFD Working Area'!BT54</f>
        <v>0.5915061430189934</v>
      </c>
      <c r="AT54" s="473">
        <f>'English LRFD Working Area'!BU54</f>
        <v>0.59876415934699911</v>
      </c>
      <c r="AU54" s="473">
        <f>'English LRFD Working Area'!BV54</f>
        <v>0.6161232369723243</v>
      </c>
      <c r="AV54" s="474">
        <f>'English LRFD Working Area'!BW54</f>
        <v>0.57774830458277926</v>
      </c>
    </row>
    <row r="55" spans="2:60" ht="13.5" thickBot="1" x14ac:dyDescent="0.25">
      <c r="B55" s="35">
        <v>0.5</v>
      </c>
      <c r="C55" s="36">
        <v>1</v>
      </c>
      <c r="D55" s="36">
        <v>2</v>
      </c>
      <c r="E55" s="36">
        <v>2</v>
      </c>
      <c r="F55" s="36">
        <v>8</v>
      </c>
      <c r="G55" s="13">
        <v>0.5</v>
      </c>
    </row>
    <row r="56" spans="2:60" ht="13.5" thickBot="1" x14ac:dyDescent="0.25"/>
    <row r="57" spans="2:60" x14ac:dyDescent="0.2">
      <c r="C57" s="3"/>
      <c r="D57" s="4"/>
      <c r="E57" s="4"/>
      <c r="F57" s="4"/>
      <c r="G57" s="3" t="s">
        <v>62</v>
      </c>
      <c r="H57" s="4"/>
      <c r="I57" s="4"/>
      <c r="J57" s="4"/>
      <c r="K57" s="5"/>
      <c r="L57" s="3" t="s">
        <v>69</v>
      </c>
      <c r="M57" s="4"/>
      <c r="N57" s="4"/>
      <c r="O57" s="4"/>
      <c r="P57" s="5"/>
      <c r="Q57" s="4" t="s">
        <v>68</v>
      </c>
      <c r="R57" s="4"/>
      <c r="S57" s="4"/>
      <c r="T57" s="4"/>
      <c r="U57" s="5"/>
      <c r="V57" s="3" t="s">
        <v>130</v>
      </c>
      <c r="W57" s="4"/>
      <c r="X57" s="5"/>
    </row>
    <row r="58" spans="2:60" ht="38.25" x14ac:dyDescent="0.2">
      <c r="C58" s="54" t="s">
        <v>23</v>
      </c>
      <c r="D58" s="55" t="s">
        <v>7</v>
      </c>
      <c r="E58" s="55" t="s">
        <v>24</v>
      </c>
      <c r="F58" s="55" t="s">
        <v>115</v>
      </c>
      <c r="G58" s="54" t="s">
        <v>63</v>
      </c>
      <c r="H58" s="55" t="s">
        <v>64</v>
      </c>
      <c r="I58" s="55" t="s">
        <v>65</v>
      </c>
      <c r="J58" s="55" t="s">
        <v>66</v>
      </c>
      <c r="K58" s="56" t="s">
        <v>67</v>
      </c>
      <c r="L58" s="54" t="s">
        <v>63</v>
      </c>
      <c r="M58" s="55" t="s">
        <v>64</v>
      </c>
      <c r="N58" s="55" t="s">
        <v>65</v>
      </c>
      <c r="O58" s="55" t="s">
        <v>66</v>
      </c>
      <c r="P58" s="56" t="s">
        <v>67</v>
      </c>
      <c r="Q58" s="55" t="s">
        <v>63</v>
      </c>
      <c r="R58" s="55" t="s">
        <v>64</v>
      </c>
      <c r="S58" s="55" t="s">
        <v>65</v>
      </c>
      <c r="T58" s="55" t="s">
        <v>66</v>
      </c>
      <c r="U58" s="56" t="s">
        <v>67</v>
      </c>
      <c r="V58" s="54" t="s">
        <v>128</v>
      </c>
      <c r="W58" s="55" t="s">
        <v>129</v>
      </c>
      <c r="X58" s="77" t="s">
        <v>132</v>
      </c>
    </row>
    <row r="59" spans="2:60" ht="13.5" thickBot="1" x14ac:dyDescent="0.25">
      <c r="C59" s="8" t="s">
        <v>0</v>
      </c>
      <c r="D59" s="68">
        <v>1</v>
      </c>
      <c r="E59" s="68">
        <f>D59</f>
        <v>1</v>
      </c>
      <c r="F59" s="100">
        <v>2</v>
      </c>
      <c r="G59" s="37">
        <f>2+10.5/12</f>
        <v>2.875</v>
      </c>
      <c r="H59" s="38">
        <v>8</v>
      </c>
      <c r="I59" s="38">
        <v>0.5</v>
      </c>
      <c r="J59" s="38">
        <f>Q93</f>
        <v>16.819329655172414</v>
      </c>
      <c r="K59" s="7">
        <v>0</v>
      </c>
      <c r="L59" s="37">
        <f>2+8/12</f>
        <v>2.6666666666666665</v>
      </c>
      <c r="M59" s="38">
        <v>8</v>
      </c>
      <c r="N59" s="38">
        <v>0.5</v>
      </c>
      <c r="O59" s="38">
        <f>Q97</f>
        <v>5.0926799471978885</v>
      </c>
      <c r="P59" s="7">
        <v>0</v>
      </c>
      <c r="Q59" s="38">
        <f>3+2/12</f>
        <v>3.1666666666666665</v>
      </c>
      <c r="R59" s="38">
        <v>8</v>
      </c>
      <c r="S59" s="38">
        <v>0.5</v>
      </c>
      <c r="T59" s="38">
        <f>Q101</f>
        <v>9.7973333333333343</v>
      </c>
      <c r="U59" s="7">
        <f t="shared" ref="U59:U69" si="16">500*150/1000/1000</f>
        <v>7.4999999999999997E-2</v>
      </c>
      <c r="V59" s="78">
        <v>1.1666666666666667</v>
      </c>
      <c r="W59" s="6">
        <v>2</v>
      </c>
      <c r="X59" s="79">
        <v>0</v>
      </c>
    </row>
    <row r="60" spans="2:60" x14ac:dyDescent="0.2">
      <c r="C60" s="14" t="s">
        <v>25</v>
      </c>
      <c r="D60" s="68">
        <f>E60/2</f>
        <v>1.5416666666666667</v>
      </c>
      <c r="E60" s="38">
        <f>3+1/12</f>
        <v>3.0833333333333335</v>
      </c>
      <c r="F60" s="100">
        <v>2.5</v>
      </c>
      <c r="G60" s="37">
        <f>2+4/12</f>
        <v>2.3333333333333335</v>
      </c>
      <c r="H60" s="38">
        <f t="shared" ref="H60:J68" si="17">H59</f>
        <v>8</v>
      </c>
      <c r="I60" s="38">
        <f t="shared" si="17"/>
        <v>0.5</v>
      </c>
      <c r="J60" s="38">
        <f t="shared" si="17"/>
        <v>16.819329655172414</v>
      </c>
      <c r="K60" s="7">
        <v>0</v>
      </c>
      <c r="L60" s="37">
        <f>2+1.5/12</f>
        <v>2.125</v>
      </c>
      <c r="M60" s="38">
        <f t="shared" ref="M60:O68" si="18">M59</f>
        <v>8</v>
      </c>
      <c r="N60" s="38">
        <f t="shared" si="18"/>
        <v>0.5</v>
      </c>
      <c r="O60" s="38">
        <f t="shared" si="18"/>
        <v>5.0926799471978885</v>
      </c>
      <c r="P60" s="7">
        <v>0</v>
      </c>
      <c r="Q60" s="38">
        <f>2+7.5/12</f>
        <v>2.625</v>
      </c>
      <c r="R60" s="38">
        <f t="shared" ref="R60:T68" si="19">R59</f>
        <v>8</v>
      </c>
      <c r="S60" s="38">
        <f t="shared" si="19"/>
        <v>0.5</v>
      </c>
      <c r="T60" s="38">
        <f t="shared" si="19"/>
        <v>9.7973333333333343</v>
      </c>
      <c r="U60" s="7">
        <f t="shared" si="16"/>
        <v>7.4999999999999997E-2</v>
      </c>
      <c r="V60" s="78">
        <v>1.6666666666667</v>
      </c>
      <c r="W60" s="6">
        <v>2</v>
      </c>
      <c r="X60" s="79">
        <v>5.0833000000000004</v>
      </c>
    </row>
    <row r="61" spans="2:60" x14ac:dyDescent="0.2">
      <c r="C61" s="274" t="s">
        <v>1</v>
      </c>
      <c r="D61" s="68">
        <v>1.3333333333333333</v>
      </c>
      <c r="E61" s="68">
        <f>D61</f>
        <v>1.3333333333333333</v>
      </c>
      <c r="F61" s="100">
        <v>2</v>
      </c>
      <c r="G61" s="37">
        <f>2+8.5/12</f>
        <v>2.7083333333333335</v>
      </c>
      <c r="H61" s="38">
        <f t="shared" si="17"/>
        <v>8</v>
      </c>
      <c r="I61" s="38">
        <f t="shared" si="17"/>
        <v>0.5</v>
      </c>
      <c r="J61" s="38">
        <f t="shared" si="17"/>
        <v>16.819329655172414</v>
      </c>
      <c r="K61" s="7">
        <v>0</v>
      </c>
      <c r="L61" s="37">
        <f>2+6/12</f>
        <v>2.5</v>
      </c>
      <c r="M61" s="38">
        <f t="shared" si="18"/>
        <v>8</v>
      </c>
      <c r="N61" s="38">
        <f t="shared" si="18"/>
        <v>0.5</v>
      </c>
      <c r="O61" s="38">
        <f t="shared" si="18"/>
        <v>5.0926799471978885</v>
      </c>
      <c r="P61" s="7">
        <v>0</v>
      </c>
      <c r="Q61" s="38">
        <v>3</v>
      </c>
      <c r="R61" s="38">
        <f t="shared" si="19"/>
        <v>8</v>
      </c>
      <c r="S61" s="38">
        <f t="shared" si="19"/>
        <v>0.5</v>
      </c>
      <c r="T61" s="38">
        <f t="shared" si="19"/>
        <v>9.7973333333333343</v>
      </c>
      <c r="U61" s="7">
        <f t="shared" si="16"/>
        <v>7.4999999999999997E-2</v>
      </c>
      <c r="V61" s="78">
        <v>1.1666666666666667</v>
      </c>
      <c r="W61" s="6">
        <v>2</v>
      </c>
      <c r="X61" s="79">
        <v>7</v>
      </c>
    </row>
    <row r="62" spans="2:60" x14ac:dyDescent="0.2">
      <c r="C62" s="274" t="s">
        <v>2</v>
      </c>
      <c r="D62" s="68">
        <v>1.6666666666666665</v>
      </c>
      <c r="E62" s="68">
        <f>D62</f>
        <v>1.6666666666666665</v>
      </c>
      <c r="F62" s="100">
        <v>2</v>
      </c>
      <c r="G62" s="37">
        <f>2+6.5/12</f>
        <v>2.5416666666666665</v>
      </c>
      <c r="H62" s="38">
        <f t="shared" si="17"/>
        <v>8</v>
      </c>
      <c r="I62" s="38">
        <f t="shared" si="17"/>
        <v>0.5</v>
      </c>
      <c r="J62" s="38">
        <f t="shared" si="17"/>
        <v>16.819329655172414</v>
      </c>
      <c r="K62" s="7">
        <v>0</v>
      </c>
      <c r="L62" s="37">
        <f>2+4/12</f>
        <v>2.3333333333333335</v>
      </c>
      <c r="M62" s="38">
        <f t="shared" si="18"/>
        <v>8</v>
      </c>
      <c r="N62" s="38">
        <f t="shared" si="18"/>
        <v>0.5</v>
      </c>
      <c r="O62" s="38">
        <f t="shared" si="18"/>
        <v>5.0926799471978885</v>
      </c>
      <c r="P62" s="7">
        <v>0</v>
      </c>
      <c r="Q62" s="38">
        <f>2+10/12</f>
        <v>2.8333333333333335</v>
      </c>
      <c r="R62" s="38">
        <f t="shared" si="19"/>
        <v>8</v>
      </c>
      <c r="S62" s="38">
        <f t="shared" si="19"/>
        <v>0.5</v>
      </c>
      <c r="T62" s="38">
        <f t="shared" si="19"/>
        <v>9.7973333333333343</v>
      </c>
      <c r="U62" s="7">
        <f t="shared" si="16"/>
        <v>7.4999999999999997E-2</v>
      </c>
      <c r="V62" s="78">
        <v>1.1666666666666667</v>
      </c>
      <c r="W62" s="6">
        <v>2</v>
      </c>
      <c r="X62" s="79">
        <v>0</v>
      </c>
    </row>
    <row r="63" spans="2:60" x14ac:dyDescent="0.2">
      <c r="C63" s="274" t="s">
        <v>3</v>
      </c>
      <c r="D63" s="68">
        <f>E63/2</f>
        <v>1.25</v>
      </c>
      <c r="E63" s="38">
        <v>2.5</v>
      </c>
      <c r="F63" s="100">
        <v>2.5</v>
      </c>
      <c r="G63" s="37">
        <f>2+7.5/12</f>
        <v>2.625</v>
      </c>
      <c r="H63" s="38">
        <f t="shared" si="17"/>
        <v>8</v>
      </c>
      <c r="I63" s="38">
        <f t="shared" si="17"/>
        <v>0.5</v>
      </c>
      <c r="J63" s="38">
        <f t="shared" si="17"/>
        <v>16.819329655172414</v>
      </c>
      <c r="K63" s="7">
        <v>0</v>
      </c>
      <c r="L63" s="37">
        <f>2+5/12</f>
        <v>2.4166666666666665</v>
      </c>
      <c r="M63" s="38">
        <f t="shared" si="18"/>
        <v>8</v>
      </c>
      <c r="N63" s="38">
        <f t="shared" si="18"/>
        <v>0.5</v>
      </c>
      <c r="O63" s="38">
        <f t="shared" si="18"/>
        <v>5.0926799471978885</v>
      </c>
      <c r="P63" s="7">
        <v>0</v>
      </c>
      <c r="Q63" s="38">
        <f>2+11/12</f>
        <v>2.9166666666666665</v>
      </c>
      <c r="R63" s="38">
        <f t="shared" si="19"/>
        <v>8</v>
      </c>
      <c r="S63" s="38">
        <f t="shared" si="19"/>
        <v>0.5</v>
      </c>
      <c r="T63" s="38">
        <f t="shared" si="19"/>
        <v>9.7973333333333343</v>
      </c>
      <c r="U63" s="7">
        <f t="shared" si="16"/>
        <v>7.4999999999999997E-2</v>
      </c>
      <c r="V63" s="78">
        <v>1.3333333329999999</v>
      </c>
      <c r="W63" s="6">
        <v>6</v>
      </c>
      <c r="X63" s="79">
        <v>12.083299999999999</v>
      </c>
    </row>
    <row r="64" spans="2:60" x14ac:dyDescent="0.2">
      <c r="C64" s="274" t="s">
        <v>150</v>
      </c>
      <c r="D64" s="68">
        <v>2</v>
      </c>
      <c r="E64" s="38">
        <v>4</v>
      </c>
      <c r="F64" s="101">
        <v>2.5</v>
      </c>
      <c r="G64" s="37">
        <f>1+10.5/12</f>
        <v>1.875</v>
      </c>
      <c r="H64" s="38">
        <f t="shared" si="17"/>
        <v>8</v>
      </c>
      <c r="I64" s="38">
        <f t="shared" si="17"/>
        <v>0.5</v>
      </c>
      <c r="J64" s="38">
        <f t="shared" si="17"/>
        <v>16.819329655172414</v>
      </c>
      <c r="K64" s="7">
        <v>0</v>
      </c>
      <c r="L64" s="37">
        <v>1.6666669999999999</v>
      </c>
      <c r="M64" s="38">
        <f t="shared" si="18"/>
        <v>8</v>
      </c>
      <c r="N64" s="38">
        <f t="shared" si="18"/>
        <v>0.5</v>
      </c>
      <c r="O64" s="38">
        <f t="shared" si="18"/>
        <v>5.0926799471978885</v>
      </c>
      <c r="P64" s="7">
        <v>0</v>
      </c>
      <c r="Q64" s="38">
        <v>2.1666669999999999</v>
      </c>
      <c r="R64" s="38">
        <f t="shared" si="19"/>
        <v>8</v>
      </c>
      <c r="S64" s="38">
        <f t="shared" si="19"/>
        <v>0.5</v>
      </c>
      <c r="T64" s="38">
        <f t="shared" si="19"/>
        <v>9.7973333333333343</v>
      </c>
      <c r="U64" s="7">
        <f t="shared" si="16"/>
        <v>7.4999999999999997E-2</v>
      </c>
      <c r="V64" s="78">
        <f>E64/2+2/12</f>
        <v>2.1666666666666665</v>
      </c>
      <c r="W64" s="6">
        <v>2</v>
      </c>
      <c r="X64" s="79">
        <v>0</v>
      </c>
    </row>
    <row r="65" spans="3:24" x14ac:dyDescent="0.2">
      <c r="C65" s="274" t="s">
        <v>151</v>
      </c>
      <c r="D65" s="68">
        <v>2</v>
      </c>
      <c r="E65" s="38">
        <v>4</v>
      </c>
      <c r="F65" s="101">
        <v>2.5</v>
      </c>
      <c r="G65" s="37">
        <f>1+10.5/12</f>
        <v>1.875</v>
      </c>
      <c r="H65" s="38">
        <f t="shared" si="17"/>
        <v>8</v>
      </c>
      <c r="I65" s="38">
        <f t="shared" si="17"/>
        <v>0.5</v>
      </c>
      <c r="J65" s="38">
        <f t="shared" si="17"/>
        <v>16.819329655172414</v>
      </c>
      <c r="K65" s="7">
        <v>0</v>
      </c>
      <c r="L65" s="37">
        <v>1.6666669999999999</v>
      </c>
      <c r="M65" s="38">
        <f t="shared" si="18"/>
        <v>8</v>
      </c>
      <c r="N65" s="38">
        <f t="shared" si="18"/>
        <v>0.5</v>
      </c>
      <c r="O65" s="38">
        <f t="shared" si="18"/>
        <v>5.0926799471978885</v>
      </c>
      <c r="P65" s="7">
        <v>0</v>
      </c>
      <c r="Q65" s="38">
        <v>2.1666669999999999</v>
      </c>
      <c r="R65" s="38">
        <f t="shared" si="19"/>
        <v>8</v>
      </c>
      <c r="S65" s="38">
        <f t="shared" si="19"/>
        <v>0.5</v>
      </c>
      <c r="T65" s="38">
        <f t="shared" si="19"/>
        <v>9.7973333333333343</v>
      </c>
      <c r="U65" s="7">
        <f t="shared" si="16"/>
        <v>7.4999999999999997E-2</v>
      </c>
      <c r="V65" s="78">
        <f>E65/2+2/12</f>
        <v>2.1666666666666665</v>
      </c>
      <c r="W65" s="6">
        <v>2</v>
      </c>
      <c r="X65" s="79">
        <v>0</v>
      </c>
    </row>
    <row r="66" spans="3:24" x14ac:dyDescent="0.2">
      <c r="C66" s="274" t="s">
        <v>152</v>
      </c>
      <c r="D66" s="68">
        <v>2</v>
      </c>
      <c r="E66" s="58">
        <v>4</v>
      </c>
      <c r="F66" s="100">
        <v>2.5</v>
      </c>
      <c r="G66" s="37">
        <f>1+10.5/12</f>
        <v>1.875</v>
      </c>
      <c r="H66" s="38">
        <f t="shared" si="17"/>
        <v>8</v>
      </c>
      <c r="I66" s="38">
        <f t="shared" si="17"/>
        <v>0.5</v>
      </c>
      <c r="J66" s="38">
        <f t="shared" si="17"/>
        <v>16.819329655172414</v>
      </c>
      <c r="K66" s="7">
        <v>0</v>
      </c>
      <c r="L66" s="37">
        <v>1.6666669999999999</v>
      </c>
      <c r="M66" s="38">
        <f t="shared" si="18"/>
        <v>8</v>
      </c>
      <c r="N66" s="38">
        <f t="shared" si="18"/>
        <v>0.5</v>
      </c>
      <c r="O66" s="38">
        <f t="shared" si="18"/>
        <v>5.0926799471978885</v>
      </c>
      <c r="P66" s="7">
        <v>0</v>
      </c>
      <c r="Q66" s="38">
        <v>2.1666669999999999</v>
      </c>
      <c r="R66" s="38">
        <f t="shared" si="19"/>
        <v>8</v>
      </c>
      <c r="S66" s="38">
        <f t="shared" si="19"/>
        <v>0.5</v>
      </c>
      <c r="T66" s="38">
        <f t="shared" si="19"/>
        <v>9.7973333333333343</v>
      </c>
      <c r="U66" s="7">
        <f t="shared" si="16"/>
        <v>7.4999999999999997E-2</v>
      </c>
      <c r="V66" s="78">
        <f>E66/2+2/12</f>
        <v>2.1666666666666665</v>
      </c>
      <c r="W66" s="6">
        <v>4</v>
      </c>
      <c r="X66" s="79">
        <v>0</v>
      </c>
    </row>
    <row r="67" spans="3:24" ht="13.5" thickBot="1" x14ac:dyDescent="0.25">
      <c r="C67" s="275" t="s">
        <v>153</v>
      </c>
      <c r="D67" s="68">
        <v>2</v>
      </c>
      <c r="E67" s="58">
        <v>4</v>
      </c>
      <c r="F67" s="100">
        <v>2.5</v>
      </c>
      <c r="G67" s="37">
        <f>1+10.5/12</f>
        <v>1.875</v>
      </c>
      <c r="H67" s="38">
        <f t="shared" si="17"/>
        <v>8</v>
      </c>
      <c r="I67" s="38">
        <f t="shared" si="17"/>
        <v>0.5</v>
      </c>
      <c r="J67" s="38">
        <f t="shared" si="17"/>
        <v>16.819329655172414</v>
      </c>
      <c r="K67" s="7">
        <v>0</v>
      </c>
      <c r="L67" s="37">
        <v>1.6666669999999999</v>
      </c>
      <c r="M67" s="38">
        <f t="shared" si="18"/>
        <v>8</v>
      </c>
      <c r="N67" s="38">
        <f t="shared" si="18"/>
        <v>0.5</v>
      </c>
      <c r="O67" s="38">
        <f t="shared" si="18"/>
        <v>5.0926799471978885</v>
      </c>
      <c r="P67" s="7">
        <v>0</v>
      </c>
      <c r="Q67" s="38">
        <v>2.1666669999999999</v>
      </c>
      <c r="R67" s="38">
        <f t="shared" si="19"/>
        <v>8</v>
      </c>
      <c r="S67" s="38">
        <f t="shared" si="19"/>
        <v>0.5</v>
      </c>
      <c r="T67" s="38">
        <f t="shared" si="19"/>
        <v>9.7973333333333343</v>
      </c>
      <c r="U67" s="7">
        <f t="shared" si="16"/>
        <v>7.4999999999999997E-2</v>
      </c>
      <c r="V67" s="78">
        <f>E67/2+2/12</f>
        <v>2.1666666666666665</v>
      </c>
      <c r="W67" s="6">
        <v>6</v>
      </c>
      <c r="X67" s="79">
        <v>0</v>
      </c>
    </row>
    <row r="68" spans="3:24" ht="13.5" thickBot="1" x14ac:dyDescent="0.25">
      <c r="C68" s="49" t="s">
        <v>56</v>
      </c>
      <c r="D68" s="69">
        <v>0.5</v>
      </c>
      <c r="E68" s="58">
        <v>1</v>
      </c>
      <c r="F68" s="101">
        <v>2</v>
      </c>
      <c r="G68" s="37">
        <v>2.875</v>
      </c>
      <c r="H68" s="58">
        <v>8</v>
      </c>
      <c r="I68" s="58">
        <v>0.5</v>
      </c>
      <c r="J68" s="38">
        <f t="shared" si="17"/>
        <v>16.819329655172414</v>
      </c>
      <c r="K68" s="7">
        <v>0</v>
      </c>
      <c r="L68" s="37">
        <v>2.6666666000000001</v>
      </c>
      <c r="M68" s="58">
        <v>8</v>
      </c>
      <c r="N68" s="58">
        <v>0.5</v>
      </c>
      <c r="O68" s="38">
        <f t="shared" si="18"/>
        <v>5.0926799471978885</v>
      </c>
      <c r="P68" s="7">
        <v>0</v>
      </c>
      <c r="Q68" s="58">
        <v>3.1666666600000002</v>
      </c>
      <c r="R68" s="58">
        <v>8</v>
      </c>
      <c r="S68" s="58">
        <v>0.5</v>
      </c>
      <c r="T68" s="38">
        <f t="shared" si="19"/>
        <v>9.7973333333333343</v>
      </c>
      <c r="U68" s="7">
        <f t="shared" si="16"/>
        <v>7.4999999999999997E-2</v>
      </c>
      <c r="V68" s="8">
        <v>0</v>
      </c>
      <c r="W68" s="6">
        <v>0</v>
      </c>
      <c r="X68" s="79">
        <v>0</v>
      </c>
    </row>
    <row r="69" spans="3:24" ht="13.5" thickBot="1" x14ac:dyDescent="0.25">
      <c r="C69" s="10" t="s">
        <v>86</v>
      </c>
      <c r="D69" s="36"/>
      <c r="E69" s="36"/>
      <c r="F69" s="36"/>
      <c r="G69" s="35"/>
      <c r="H69" s="36"/>
      <c r="I69" s="36"/>
      <c r="J69" s="36">
        <f>J68</f>
        <v>16.819329655172414</v>
      </c>
      <c r="K69" s="13">
        <v>0</v>
      </c>
      <c r="L69" s="35"/>
      <c r="M69" s="36"/>
      <c r="N69" s="36"/>
      <c r="O69" s="36">
        <f>O68</f>
        <v>5.0926799471978885</v>
      </c>
      <c r="P69" s="13">
        <v>0</v>
      </c>
      <c r="Q69" s="36"/>
      <c r="R69" s="36"/>
      <c r="S69" s="36"/>
      <c r="T69" s="36">
        <f>T68</f>
        <v>9.7973333333333343</v>
      </c>
      <c r="U69" s="13">
        <f t="shared" si="16"/>
        <v>7.4999999999999997E-2</v>
      </c>
      <c r="V69" s="10">
        <v>0</v>
      </c>
      <c r="W69" s="11">
        <v>0</v>
      </c>
      <c r="X69" s="48">
        <v>0</v>
      </c>
    </row>
    <row r="70" spans="3:24" ht="13.5" thickBot="1" x14ac:dyDescent="0.25"/>
    <row r="71" spans="3:24" ht="13.5" thickBot="1" x14ac:dyDescent="0.25">
      <c r="C71">
        <v>1</v>
      </c>
      <c r="D71">
        <v>2</v>
      </c>
      <c r="E71">
        <v>3</v>
      </c>
      <c r="F71">
        <v>4</v>
      </c>
      <c r="G71">
        <v>5</v>
      </c>
      <c r="H71">
        <v>6</v>
      </c>
      <c r="J71" s="2" t="s">
        <v>7</v>
      </c>
      <c r="K71" t="s">
        <v>100</v>
      </c>
      <c r="U71" s="437" t="s">
        <v>452</v>
      </c>
      <c r="V71" s="5"/>
    </row>
    <row r="72" spans="3:24" ht="13.5" thickBot="1" x14ac:dyDescent="0.25">
      <c r="C72" s="17" t="s">
        <v>46</v>
      </c>
      <c r="D72" s="18"/>
      <c r="E72" s="17" t="s">
        <v>26</v>
      </c>
      <c r="F72" s="18"/>
      <c r="G72" s="17" t="s">
        <v>27</v>
      </c>
      <c r="H72" s="18"/>
      <c r="J72" s="2" t="s">
        <v>24</v>
      </c>
      <c r="K72" t="s">
        <v>101</v>
      </c>
      <c r="R72" s="39" t="s">
        <v>77</v>
      </c>
      <c r="S72" s="611" t="s">
        <v>539</v>
      </c>
      <c r="T72" s="40" t="s">
        <v>76</v>
      </c>
      <c r="U72" s="438" t="s">
        <v>17</v>
      </c>
      <c r="V72" s="439" t="s">
        <v>18</v>
      </c>
    </row>
    <row r="73" spans="3:24" ht="13.5" thickBot="1" x14ac:dyDescent="0.25">
      <c r="C73" s="19" t="s">
        <v>47</v>
      </c>
      <c r="D73" s="20" t="s">
        <v>48</v>
      </c>
      <c r="E73" s="19" t="s">
        <v>29</v>
      </c>
      <c r="F73" s="20" t="s">
        <v>30</v>
      </c>
      <c r="G73" s="19" t="s">
        <v>92</v>
      </c>
      <c r="H73" s="20" t="s">
        <v>32</v>
      </c>
      <c r="J73" s="74" t="s">
        <v>115</v>
      </c>
      <c r="K73" s="73" t="s">
        <v>116</v>
      </c>
      <c r="R73" s="3" t="s">
        <v>62</v>
      </c>
      <c r="S73" s="4">
        <v>1.375</v>
      </c>
      <c r="T73" s="5">
        <v>4</v>
      </c>
      <c r="U73" s="440" t="s">
        <v>41</v>
      </c>
      <c r="V73" s="47">
        <v>8.5</v>
      </c>
    </row>
    <row r="74" spans="3:24" x14ac:dyDescent="0.2">
      <c r="C74" s="29">
        <v>10</v>
      </c>
      <c r="D74" s="30" t="s">
        <v>39</v>
      </c>
      <c r="E74" s="17">
        <v>0.71</v>
      </c>
      <c r="F74" s="18">
        <v>0.11</v>
      </c>
      <c r="G74" s="17">
        <v>0.52</v>
      </c>
      <c r="H74" s="18">
        <v>0.376</v>
      </c>
      <c r="J74" s="2" t="s">
        <v>63</v>
      </c>
      <c r="K74" t="s">
        <v>635</v>
      </c>
      <c r="R74" s="37" t="s">
        <v>69</v>
      </c>
      <c r="S74" s="38">
        <v>1.167</v>
      </c>
      <c r="T74" s="7">
        <v>9</v>
      </c>
      <c r="U74" s="441" t="s">
        <v>41</v>
      </c>
      <c r="V74" s="79">
        <v>6.5</v>
      </c>
    </row>
    <row r="75" spans="3:24" ht="13.5" thickBot="1" x14ac:dyDescent="0.25">
      <c r="C75" s="27">
        <v>13</v>
      </c>
      <c r="D75" s="28" t="s">
        <v>40</v>
      </c>
      <c r="E75" s="21">
        <v>1.29</v>
      </c>
      <c r="F75" s="22">
        <v>0.2</v>
      </c>
      <c r="G75" s="21">
        <v>0.99399999999999999</v>
      </c>
      <c r="H75" s="22">
        <v>0.66800000000000004</v>
      </c>
      <c r="J75" s="2" t="s">
        <v>64</v>
      </c>
      <c r="K75" t="s">
        <v>70</v>
      </c>
      <c r="R75" s="37" t="s">
        <v>68</v>
      </c>
      <c r="S75" s="38">
        <v>1.667</v>
      </c>
      <c r="T75" s="7">
        <v>14</v>
      </c>
      <c r="U75" s="441" t="s">
        <v>41</v>
      </c>
      <c r="V75" s="79">
        <v>6.5</v>
      </c>
    </row>
    <row r="76" spans="3:24" ht="13.5" thickBot="1" x14ac:dyDescent="0.25">
      <c r="C76" s="27">
        <v>16</v>
      </c>
      <c r="D76" s="28" t="s">
        <v>41</v>
      </c>
      <c r="E76" s="21">
        <v>2</v>
      </c>
      <c r="F76" s="22">
        <v>0.31</v>
      </c>
      <c r="G76" s="21">
        <v>1.55</v>
      </c>
      <c r="H76" s="22">
        <v>1.0429999999999999</v>
      </c>
      <c r="J76" s="2" t="s">
        <v>65</v>
      </c>
      <c r="K76" t="s">
        <v>71</v>
      </c>
      <c r="R76" s="35" t="s">
        <v>75</v>
      </c>
      <c r="S76" s="36">
        <f>VLOOKUP(D10,R73:T75,2,FALSE)</f>
        <v>1.667</v>
      </c>
      <c r="T76" s="13">
        <f>VLOOKUP(D10,R73:T75,3,FALSE)</f>
        <v>14</v>
      </c>
      <c r="U76" s="440" t="s">
        <v>40</v>
      </c>
      <c r="V76" s="47">
        <f>INT(V77*G75/G76*4+0.99)/4</f>
        <v>9.75</v>
      </c>
    </row>
    <row r="77" spans="3:24" ht="13.5" thickBot="1" x14ac:dyDescent="0.25">
      <c r="C77" s="27">
        <v>19</v>
      </c>
      <c r="D77" s="28" t="s">
        <v>42</v>
      </c>
      <c r="E77" s="21">
        <v>2.84</v>
      </c>
      <c r="F77" s="22">
        <v>0.44</v>
      </c>
      <c r="G77" s="21">
        <v>2.2400000000000002</v>
      </c>
      <c r="H77" s="22">
        <v>1.502</v>
      </c>
      <c r="J77" s="2" t="s">
        <v>66</v>
      </c>
      <c r="K77" t="s">
        <v>72</v>
      </c>
      <c r="S77" t="s">
        <v>79</v>
      </c>
      <c r="U77" s="441" t="s">
        <v>41</v>
      </c>
      <c r="V77" s="79">
        <v>15</v>
      </c>
      <c r="W77" s="500" t="s">
        <v>470</v>
      </c>
    </row>
    <row r="78" spans="3:24" ht="13.5" thickBot="1" x14ac:dyDescent="0.25">
      <c r="C78" s="19">
        <v>22</v>
      </c>
      <c r="D78" s="20" t="s">
        <v>43</v>
      </c>
      <c r="E78" s="23">
        <v>3.87</v>
      </c>
      <c r="F78" s="24">
        <v>0.6</v>
      </c>
      <c r="G78" s="23">
        <v>3.0409999999999999</v>
      </c>
      <c r="H78" s="24">
        <v>2.044</v>
      </c>
      <c r="J78" s="2" t="s">
        <v>67</v>
      </c>
      <c r="K78" t="s">
        <v>102</v>
      </c>
      <c r="Q78" s="558" t="s">
        <v>494</v>
      </c>
      <c r="U78" s="438" t="s">
        <v>42</v>
      </c>
      <c r="V78" s="48">
        <f>INT(V77*G77/G76*4+0.99)/4</f>
        <v>21.75</v>
      </c>
    </row>
    <row r="79" spans="3:24" ht="13.5" thickBot="1" x14ac:dyDescent="0.25">
      <c r="Q79" s="16">
        <f>(D9-VLOOKUP($D$7,$C$59:$U$69,4,FALSE))</f>
        <v>1.5</v>
      </c>
    </row>
    <row r="80" spans="3:24" x14ac:dyDescent="0.2">
      <c r="M80" s="3" t="s">
        <v>74</v>
      </c>
      <c r="N80" s="4"/>
      <c r="O80" s="4"/>
      <c r="P80" s="4"/>
      <c r="Q80" s="3">
        <v>1</v>
      </c>
      <c r="R80" s="4">
        <v>2</v>
      </c>
      <c r="S80" s="4">
        <v>3</v>
      </c>
      <c r="T80" s="4">
        <v>4</v>
      </c>
      <c r="U80" s="5">
        <v>5</v>
      </c>
      <c r="V80" s="3" t="s">
        <v>130</v>
      </c>
      <c r="W80" s="4"/>
      <c r="X80" s="5"/>
    </row>
    <row r="81" spans="1:30" x14ac:dyDescent="0.2">
      <c r="M81" s="37" t="s">
        <v>23</v>
      </c>
      <c r="N81" s="38" t="s">
        <v>7</v>
      </c>
      <c r="O81" s="38" t="s">
        <v>24</v>
      </c>
      <c r="P81" s="38" t="s">
        <v>115</v>
      </c>
      <c r="Q81" s="37" t="s">
        <v>63</v>
      </c>
      <c r="R81" s="38" t="s">
        <v>64</v>
      </c>
      <c r="S81" s="38" t="s">
        <v>65</v>
      </c>
      <c r="T81" s="38" t="s">
        <v>66</v>
      </c>
      <c r="U81" s="7" t="s">
        <v>67</v>
      </c>
      <c r="V81" s="80" t="s">
        <v>128</v>
      </c>
      <c r="W81" s="81" t="s">
        <v>129</v>
      </c>
      <c r="X81" s="7" t="s">
        <v>132</v>
      </c>
    </row>
    <row r="82" spans="1:30" ht="13.5" thickBot="1" x14ac:dyDescent="0.25">
      <c r="M82" s="35" t="str">
        <f>D7</f>
        <v>MTS-54</v>
      </c>
      <c r="N82" s="36">
        <f>IF(M82=C69,B55,VLOOKUP(D7,$C$59:$D$69,2,FALSE))</f>
        <v>2</v>
      </c>
      <c r="O82" s="36">
        <f>IF(M82=C69,C55,VLOOKUP(D7,$C$59:$F$69,3,FALSE))</f>
        <v>4</v>
      </c>
      <c r="P82" s="36">
        <f>IF(M82=C69,D55,VLOOKUP(D7,$C$59:$F$69,4,FALSE))</f>
        <v>2.5</v>
      </c>
      <c r="Q82" s="559">
        <f>IF(M82=C69,E55,VLOOKUP($D$7,$C$59:$U$69,$T$76+Q80,FALSE))+Q79</f>
        <v>3.6666669999999999</v>
      </c>
      <c r="R82" s="36">
        <f>IF(M82=C69,F55,VLOOKUP($D$7,$C$59:$U$69,$T$76+R80,FALSE))</f>
        <v>8</v>
      </c>
      <c r="S82" s="36">
        <f>IF(M82=C69,G55,VLOOKUP($D$7,$C$59:$U$69,$T$76+S80,FALSE))</f>
        <v>0.5</v>
      </c>
      <c r="T82" s="36">
        <f>VLOOKUP($D$7,$C$59:$U$69,$T$76+T80,FALSE)</f>
        <v>9.7973333333333343</v>
      </c>
      <c r="U82" s="13">
        <f>VLOOKUP($D$7,$C$59:$U$69,$T$76+U80,FALSE)</f>
        <v>7.4999999999999997E-2</v>
      </c>
      <c r="V82" s="82">
        <f>IF(M82=C69,B55,VLOOKUP(D7,$C$59:$W$69,20,FALSE))</f>
        <v>2.1666666666666665</v>
      </c>
      <c r="W82" s="36">
        <f>IF(M82=C69,B55,VLOOKUP(D7,$C$59:$W$69,21,FALSE))</f>
        <v>4</v>
      </c>
      <c r="X82" s="13">
        <f>IF(M82=C69,B55,VLOOKUP(D7,$C$59:$X$69,22,FALSE))</f>
        <v>0</v>
      </c>
    </row>
    <row r="83" spans="1:30" ht="13.5" thickBot="1" x14ac:dyDescent="0.25"/>
    <row r="84" spans="1:30" x14ac:dyDescent="0.2">
      <c r="A84" s="41" t="s">
        <v>54</v>
      </c>
      <c r="B84" s="4"/>
      <c r="C84" s="4"/>
      <c r="D84" s="4"/>
      <c r="E84" s="4"/>
      <c r="F84" s="5"/>
      <c r="H84" s="3" t="s">
        <v>78</v>
      </c>
      <c r="I84" s="4"/>
      <c r="J84" s="4"/>
      <c r="K84" s="4"/>
      <c r="L84" s="4"/>
      <c r="M84" s="5"/>
      <c r="O84" s="41" t="s">
        <v>158</v>
      </c>
      <c r="P84" s="4"/>
      <c r="Q84" s="4"/>
      <c r="R84" s="4"/>
      <c r="S84" s="4"/>
      <c r="T84" s="4"/>
      <c r="U84" s="4"/>
      <c r="V84" s="4"/>
      <c r="W84" s="5"/>
      <c r="Y84" s="3" t="s">
        <v>110</v>
      </c>
      <c r="Z84" s="4"/>
      <c r="AA84" s="4"/>
      <c r="AB84" s="4"/>
      <c r="AC84" s="4"/>
      <c r="AD84" s="5"/>
    </row>
    <row r="85" spans="1:30" x14ac:dyDescent="0.2">
      <c r="A85" s="37"/>
      <c r="B85" s="38" t="s">
        <v>55</v>
      </c>
      <c r="C85" s="42">
        <v>0.02</v>
      </c>
      <c r="D85" s="38" t="s">
        <v>61</v>
      </c>
      <c r="E85" s="38"/>
      <c r="F85" s="7"/>
      <c r="H85" s="37"/>
      <c r="I85" s="38" t="s">
        <v>55</v>
      </c>
      <c r="J85" s="38"/>
      <c r="K85" s="38"/>
      <c r="L85" s="38"/>
      <c r="M85" s="7"/>
      <c r="O85" s="37"/>
      <c r="P85" s="38"/>
      <c r="Q85" s="38" t="s">
        <v>72</v>
      </c>
      <c r="R85" s="38"/>
      <c r="S85" s="38"/>
      <c r="T85" s="38"/>
      <c r="U85" s="38"/>
      <c r="V85" s="38"/>
      <c r="W85" s="7"/>
      <c r="Y85" s="37"/>
      <c r="Z85" s="38">
        <v>2</v>
      </c>
      <c r="AA85" s="38" t="s">
        <v>117</v>
      </c>
      <c r="AB85" s="38"/>
      <c r="AC85" s="38"/>
      <c r="AD85" s="7"/>
    </row>
    <row r="86" spans="1:30" x14ac:dyDescent="0.2">
      <c r="A86" s="37"/>
      <c r="B86" s="38"/>
      <c r="C86" s="43" t="s">
        <v>636</v>
      </c>
      <c r="D86" s="38">
        <f>D8*D13/12</f>
        <v>6.875</v>
      </c>
      <c r="E86" s="38" t="s">
        <v>93</v>
      </c>
      <c r="F86" s="7"/>
      <c r="H86" s="37"/>
      <c r="I86" s="38"/>
      <c r="J86" s="43" t="s">
        <v>637</v>
      </c>
      <c r="K86" s="38">
        <f>D13*O82/2/12</f>
        <v>1.375</v>
      </c>
      <c r="L86" s="38" t="s">
        <v>94</v>
      </c>
      <c r="M86" s="7"/>
      <c r="O86" s="37"/>
      <c r="P86" s="38" t="str">
        <f>R73</f>
        <v>SL-5</v>
      </c>
      <c r="Q86" s="38"/>
      <c r="R86" s="38"/>
      <c r="S86" s="38"/>
      <c r="T86" s="38"/>
      <c r="U86" s="38"/>
      <c r="V86" s="38"/>
      <c r="W86" s="7"/>
      <c r="Y86" s="37"/>
      <c r="Z86" s="38" t="s">
        <v>113</v>
      </c>
      <c r="AA86" s="38" t="s">
        <v>17</v>
      </c>
      <c r="AB86" s="38" t="s">
        <v>85</v>
      </c>
      <c r="AC86" s="38" t="s">
        <v>114</v>
      </c>
      <c r="AD86" s="7"/>
    </row>
    <row r="87" spans="1:30" x14ac:dyDescent="0.2">
      <c r="A87" s="37"/>
      <c r="B87" s="38"/>
      <c r="C87" s="43" t="s">
        <v>22</v>
      </c>
      <c r="D87" s="38">
        <f>(D14/12-D13/12+O82/2*C85)*O82</f>
        <v>0.66</v>
      </c>
      <c r="E87" s="38" t="s">
        <v>93</v>
      </c>
      <c r="F87" s="7"/>
      <c r="H87" s="37"/>
      <c r="I87" s="38"/>
      <c r="J87" s="43" t="s">
        <v>81</v>
      </c>
      <c r="K87" s="38">
        <f>(D14/12-D13/12+O82/4*C85)*O82/2</f>
        <v>0.28999999999999998</v>
      </c>
      <c r="L87" s="38" t="s">
        <v>94</v>
      </c>
      <c r="M87" s="7"/>
      <c r="O87" s="37"/>
      <c r="P87" s="38"/>
      <c r="Q87" s="38">
        <f>H75*6</f>
        <v>4.008</v>
      </c>
      <c r="R87" s="38" t="s">
        <v>96</v>
      </c>
      <c r="S87" s="38"/>
      <c r="T87" s="38"/>
      <c r="U87" s="38"/>
      <c r="V87" s="38"/>
      <c r="W87" s="7"/>
      <c r="Y87" s="37"/>
      <c r="Z87" s="38" t="s">
        <v>111</v>
      </c>
      <c r="AA87" s="38" t="s">
        <v>41</v>
      </c>
      <c r="AB87" s="38">
        <v>10</v>
      </c>
      <c r="AC87" s="38">
        <f>ROUND((D8*E22+P82*2)/Z85,0)</f>
        <v>18</v>
      </c>
      <c r="AD87" s="7">
        <f>AB87*AC87*VLOOKUP(AA87,$D$74:$H$78,5,FALSE)</f>
        <v>187.73999999999998</v>
      </c>
    </row>
    <row r="88" spans="1:30" x14ac:dyDescent="0.2">
      <c r="A88" s="37"/>
      <c r="B88" s="38"/>
      <c r="C88" s="38"/>
      <c r="D88" s="38">
        <f>SUM(D86:D87)</f>
        <v>7.5350000000000001</v>
      </c>
      <c r="E88" s="38" t="s">
        <v>93</v>
      </c>
      <c r="F88" s="7"/>
      <c r="H88" s="37"/>
      <c r="I88" s="38"/>
      <c r="J88" s="43" t="s">
        <v>67</v>
      </c>
      <c r="K88" s="38">
        <f>U82</f>
        <v>7.4999999999999997E-2</v>
      </c>
      <c r="L88" s="38" t="s">
        <v>94</v>
      </c>
      <c r="M88" s="7"/>
      <c r="O88" s="37"/>
      <c r="P88" s="38"/>
      <c r="Q88" s="38"/>
      <c r="R88" s="38"/>
      <c r="S88" s="38" t="s">
        <v>17</v>
      </c>
      <c r="T88" s="38" t="s">
        <v>85</v>
      </c>
      <c r="U88" s="38" t="s">
        <v>18</v>
      </c>
      <c r="V88" s="38"/>
      <c r="W88" s="7"/>
      <c r="Y88" s="37"/>
      <c r="Z88" s="38" t="s">
        <v>112</v>
      </c>
      <c r="AA88" s="38" t="s">
        <v>41</v>
      </c>
      <c r="AB88" s="38">
        <v>15</v>
      </c>
      <c r="AC88" s="38">
        <f>AC87+1</f>
        <v>19</v>
      </c>
      <c r="AD88" s="7">
        <f>AB88*AC88*VLOOKUP(AA88,$D$74:$H$78,5,FALSE)</f>
        <v>297.255</v>
      </c>
    </row>
    <row r="89" spans="1:30" ht="13.5" thickBot="1" x14ac:dyDescent="0.25">
      <c r="A89" s="37"/>
      <c r="B89" s="38" t="s">
        <v>56</v>
      </c>
      <c r="C89" s="38"/>
      <c r="D89" s="38"/>
      <c r="E89" s="38"/>
      <c r="F89" s="7"/>
      <c r="H89" s="37"/>
      <c r="I89" s="38"/>
      <c r="J89" s="43" t="s">
        <v>63</v>
      </c>
      <c r="K89" s="38">
        <f>(D14+S82+R82)/2*Q82/12</f>
        <v>2.788194697916667</v>
      </c>
      <c r="L89" s="38" t="s">
        <v>94</v>
      </c>
      <c r="M89" s="7"/>
      <c r="O89" s="37"/>
      <c r="P89" s="38"/>
      <c r="Q89" s="38">
        <f>T89*VLOOKUP(S89,$D$74:$H$78,5,FALSE)/U89</f>
        <v>2.8083641379310351</v>
      </c>
      <c r="R89" s="38" t="s">
        <v>154</v>
      </c>
      <c r="S89" s="38" t="s">
        <v>40</v>
      </c>
      <c r="T89" s="38">
        <v>5.08</v>
      </c>
      <c r="U89" s="38">
        <f>E17*2/12</f>
        <v>1.2083333333333333</v>
      </c>
      <c r="V89" s="38"/>
      <c r="W89" s="7"/>
      <c r="Y89" s="35"/>
      <c r="Z89" s="36"/>
      <c r="AA89" s="36"/>
      <c r="AB89" s="36"/>
      <c r="AC89" s="36"/>
      <c r="AD89" s="13">
        <f>SUM(AD87:AD88)</f>
        <v>484.995</v>
      </c>
    </row>
    <row r="90" spans="1:30" x14ac:dyDescent="0.2">
      <c r="A90" s="37"/>
      <c r="B90" s="38"/>
      <c r="C90" s="43" t="s">
        <v>57</v>
      </c>
      <c r="D90" s="398">
        <f>12/E17*VLOOKUP(D17,$D$74:$H$78,5,FALSE)*D8+12/E16*VLOOKUP(D16,$D$74:$H$78,5,FALSE)*D8</f>
        <v>36.518832891246682</v>
      </c>
      <c r="E90" s="38" t="s">
        <v>90</v>
      </c>
      <c r="F90" s="7"/>
      <c r="H90" s="37"/>
      <c r="I90" s="38"/>
      <c r="J90" s="43"/>
      <c r="K90" s="38">
        <f>SUM(K86:K89)</f>
        <v>4.5281946979166667</v>
      </c>
      <c r="L90" s="38" t="s">
        <v>94</v>
      </c>
      <c r="M90" s="7"/>
      <c r="O90" s="37"/>
      <c r="P90" s="38"/>
      <c r="Q90" s="38">
        <f>T90*VLOOKUP(S90,$D$74:$H$78,5,FALSE)/U90</f>
        <v>3.6684827586206894</v>
      </c>
      <c r="R90" s="38" t="s">
        <v>155</v>
      </c>
      <c r="S90" s="38" t="str">
        <f>IF(D13&gt;6.25,D76,D75)</f>
        <v># 5</v>
      </c>
      <c r="T90" s="38">
        <v>4.25</v>
      </c>
      <c r="U90" s="38">
        <f>U89</f>
        <v>1.2083333333333333</v>
      </c>
      <c r="V90" s="38"/>
      <c r="W90" s="7"/>
    </row>
    <row r="91" spans="1:30" x14ac:dyDescent="0.2">
      <c r="A91" s="37"/>
      <c r="B91" s="38"/>
      <c r="C91" s="43" t="s">
        <v>58</v>
      </c>
      <c r="D91" s="38">
        <f>D19*VLOOKUP(E19,$D$74:$H$78,5,FALSE)</f>
        <v>9.3520000000000003</v>
      </c>
      <c r="E91" s="38" t="s">
        <v>90</v>
      </c>
      <c r="F91" s="7"/>
      <c r="H91" s="37"/>
      <c r="I91" s="38" t="s">
        <v>56</v>
      </c>
      <c r="J91" s="43"/>
      <c r="K91" s="38"/>
      <c r="L91" s="38"/>
      <c r="M91" s="7"/>
      <c r="O91" s="37"/>
      <c r="P91" s="38"/>
      <c r="Q91" s="38">
        <f>T91*VLOOKUP(S91,$D$74:$H$78,5,FALSE)/U91</f>
        <v>1.6584827586206898</v>
      </c>
      <c r="R91" s="38" t="s">
        <v>156</v>
      </c>
      <c r="S91" s="38" t="s">
        <v>40</v>
      </c>
      <c r="T91" s="38">
        <v>3</v>
      </c>
      <c r="U91" s="38">
        <f>U90</f>
        <v>1.2083333333333333</v>
      </c>
      <c r="V91" s="38"/>
      <c r="W91" s="7"/>
    </row>
    <row r="92" spans="1:30" x14ac:dyDescent="0.2">
      <c r="A92" s="37"/>
      <c r="B92" s="38"/>
      <c r="C92" s="43" t="s">
        <v>59</v>
      </c>
      <c r="D92" s="38">
        <f>D8/C51*12*VLOOKUP(B51,$D$74:$H$78,5,FALSE)</f>
        <v>4.453333333333334</v>
      </c>
      <c r="E92" s="38" t="s">
        <v>90</v>
      </c>
      <c r="F92" s="7"/>
      <c r="H92" s="37"/>
      <c r="I92" s="38"/>
      <c r="J92" s="43" t="s">
        <v>57</v>
      </c>
      <c r="K92" s="38">
        <f>D90*(Q82+O82/2)/D8</f>
        <v>20.694006522334217</v>
      </c>
      <c r="L92" s="38" t="s">
        <v>91</v>
      </c>
      <c r="M92" s="7"/>
      <c r="O92" s="37"/>
      <c r="P92" s="38"/>
      <c r="Q92" s="38">
        <f>T92*VLOOKUP(S92,$D$74:$H$78,5,FALSE)/U92</f>
        <v>4.6760000000000002</v>
      </c>
      <c r="R92" s="38" t="s">
        <v>157</v>
      </c>
      <c r="S92" s="38" t="s">
        <v>40</v>
      </c>
      <c r="T92" s="38">
        <v>7</v>
      </c>
      <c r="U92" s="38">
        <v>1</v>
      </c>
      <c r="V92" s="38"/>
      <c r="W92" s="7"/>
    </row>
    <row r="93" spans="1:30" ht="13.5" thickBot="1" x14ac:dyDescent="0.25">
      <c r="A93" s="35"/>
      <c r="B93" s="36"/>
      <c r="C93" s="36"/>
      <c r="D93" s="36">
        <f>SUM(D90:D92)</f>
        <v>50.324166224580011</v>
      </c>
      <c r="E93" s="36" t="s">
        <v>90</v>
      </c>
      <c r="F93" s="13"/>
      <c r="H93" s="37"/>
      <c r="I93" s="38"/>
      <c r="J93" s="43" t="s">
        <v>80</v>
      </c>
      <c r="K93" s="38">
        <f>T82</f>
        <v>9.7973333333333343</v>
      </c>
      <c r="L93" s="38" t="s">
        <v>91</v>
      </c>
      <c r="M93" s="7"/>
      <c r="O93" s="37"/>
      <c r="P93" s="38"/>
      <c r="Q93" s="38">
        <f>SUM(Q87:Q92)</f>
        <v>16.819329655172414</v>
      </c>
      <c r="R93" s="38"/>
      <c r="S93" s="38"/>
      <c r="T93" s="38"/>
      <c r="U93" s="38"/>
      <c r="V93" s="38"/>
      <c r="W93" s="7"/>
    </row>
    <row r="94" spans="1:30" ht="13.5" thickBot="1" x14ac:dyDescent="0.25">
      <c r="H94" s="35"/>
      <c r="I94" s="36"/>
      <c r="J94" s="36"/>
      <c r="K94" s="36">
        <f>SUM(K92:K93)</f>
        <v>30.491339855667551</v>
      </c>
      <c r="L94" s="36" t="s">
        <v>91</v>
      </c>
      <c r="M94" s="13"/>
      <c r="O94" s="37"/>
      <c r="P94" s="38" t="str">
        <f>R74</f>
        <v>SL-6</v>
      </c>
      <c r="Q94" s="38"/>
      <c r="R94" s="38"/>
      <c r="S94" s="38"/>
      <c r="T94" s="38"/>
      <c r="U94" s="38"/>
      <c r="V94" s="38"/>
      <c r="W94" s="7"/>
    </row>
    <row r="95" spans="1:30" x14ac:dyDescent="0.2">
      <c r="O95" s="37"/>
      <c r="P95" s="38"/>
      <c r="Q95" s="38">
        <f>Q87</f>
        <v>4.008</v>
      </c>
      <c r="R95" s="38" t="str">
        <f>R87</f>
        <v>6 longitudinal #4's</v>
      </c>
      <c r="S95" s="38"/>
      <c r="T95" s="38"/>
      <c r="U95" s="38"/>
      <c r="V95" s="38"/>
      <c r="W95" s="7"/>
    </row>
    <row r="96" spans="1:30" ht="13.5" thickBot="1" x14ac:dyDescent="0.25">
      <c r="O96" s="37"/>
      <c r="P96" s="38"/>
      <c r="Q96" s="38">
        <f>2*4.333*H76/8.333</f>
        <v>1.0846799471978881</v>
      </c>
      <c r="R96" s="38" t="s">
        <v>97</v>
      </c>
      <c r="S96" s="38"/>
      <c r="T96" s="38"/>
      <c r="U96" s="38"/>
      <c r="V96" s="38"/>
      <c r="W96" s="7"/>
    </row>
    <row r="97" spans="1:23" x14ac:dyDescent="0.2">
      <c r="A97" s="3" t="s">
        <v>136</v>
      </c>
      <c r="B97" s="4"/>
      <c r="C97" s="4"/>
      <c r="D97" s="4" t="s">
        <v>139</v>
      </c>
      <c r="E97" s="4">
        <f>COS(RADIANS(E27))</f>
        <v>0.86602540378443871</v>
      </c>
      <c r="F97" s="5"/>
      <c r="G97" s="3" t="s">
        <v>653</v>
      </c>
      <c r="H97" s="4"/>
      <c r="I97" s="4"/>
      <c r="J97" s="5"/>
      <c r="O97" s="37"/>
      <c r="P97" s="38"/>
      <c r="Q97" s="38">
        <f>SUM(Q95:Q96)</f>
        <v>5.0926799471978885</v>
      </c>
      <c r="R97" s="38"/>
      <c r="S97" s="38"/>
      <c r="T97" s="38"/>
      <c r="U97" s="38"/>
      <c r="V97" s="38"/>
      <c r="W97" s="7"/>
    </row>
    <row r="98" spans="1:23" x14ac:dyDescent="0.2">
      <c r="A98" s="37"/>
      <c r="B98" s="38" t="s">
        <v>17</v>
      </c>
      <c r="C98" s="38" t="s">
        <v>114</v>
      </c>
      <c r="D98" s="38" t="s">
        <v>85</v>
      </c>
      <c r="E98" s="38" t="s">
        <v>133</v>
      </c>
      <c r="F98" s="7" t="s">
        <v>134</v>
      </c>
      <c r="G98" s="37"/>
      <c r="H98" s="38">
        <v>10</v>
      </c>
      <c r="I98" s="6" t="s">
        <v>143</v>
      </c>
      <c r="J98" s="99">
        <v>3</v>
      </c>
      <c r="O98" s="37"/>
      <c r="P98" s="38" t="str">
        <f>R75</f>
        <v>SL-7</v>
      </c>
      <c r="Q98" s="38"/>
      <c r="R98" s="38"/>
      <c r="S98" s="38"/>
      <c r="T98" s="38"/>
      <c r="U98" s="38"/>
      <c r="V98" s="38"/>
      <c r="W98" s="7"/>
    </row>
    <row r="99" spans="1:23" x14ac:dyDescent="0.2">
      <c r="A99" s="37" t="s">
        <v>120</v>
      </c>
      <c r="B99" s="6" t="s">
        <v>42</v>
      </c>
      <c r="C99" s="6">
        <v>1</v>
      </c>
      <c r="D99" s="38">
        <f>D8/E97</f>
        <v>11.547005383792515</v>
      </c>
      <c r="E99" s="38">
        <f t="shared" ref="E99:E104" si="20">D99*C99*VLOOKUP(B99,$D$74:$H$78,5,FALSE)</f>
        <v>17.343602086456357</v>
      </c>
      <c r="F99" s="7">
        <f t="shared" ref="F99:F104" si="21">E99*$E$22</f>
        <v>52.030806259369072</v>
      </c>
      <c r="G99" s="37"/>
      <c r="H99" s="43" t="s">
        <v>144</v>
      </c>
      <c r="I99" s="38">
        <f>H98*J98*(D8-O82)/144</f>
        <v>1.25</v>
      </c>
      <c r="J99" s="7"/>
      <c r="O99" s="37"/>
      <c r="P99" s="38"/>
      <c r="Q99" s="38">
        <f>Q95</f>
        <v>4.008</v>
      </c>
      <c r="R99" s="38" t="str">
        <f>R95</f>
        <v>6 longitudinal #4's</v>
      </c>
      <c r="S99" s="38"/>
      <c r="T99" s="38"/>
      <c r="U99" s="38"/>
      <c r="V99" s="38"/>
      <c r="W99" s="7"/>
    </row>
    <row r="100" spans="1:23" x14ac:dyDescent="0.2">
      <c r="A100" s="37" t="s">
        <v>121</v>
      </c>
      <c r="B100" s="6" t="s">
        <v>42</v>
      </c>
      <c r="C100" s="6">
        <v>0</v>
      </c>
      <c r="D100" s="38">
        <f>0/E97</f>
        <v>0</v>
      </c>
      <c r="E100" s="38">
        <f t="shared" si="20"/>
        <v>0</v>
      </c>
      <c r="F100" s="7">
        <f t="shared" si="21"/>
        <v>0</v>
      </c>
      <c r="G100" s="37"/>
      <c r="H100" s="43" t="s">
        <v>145</v>
      </c>
      <c r="I100" s="38">
        <f>J98*J98*(D8-O82)/2/144</f>
        <v>0.1875</v>
      </c>
      <c r="J100" s="7"/>
      <c r="O100" s="37"/>
      <c r="P100" s="38"/>
      <c r="Q100" s="38">
        <f>H75*2+5*H75/0.75</f>
        <v>5.7893333333333343</v>
      </c>
      <c r="R100" s="38" t="s">
        <v>98</v>
      </c>
      <c r="S100" s="38"/>
      <c r="T100" s="38"/>
      <c r="U100" s="38"/>
      <c r="V100" s="38"/>
      <c r="W100" s="7"/>
    </row>
    <row r="101" spans="1:23" ht="13.5" thickBot="1" x14ac:dyDescent="0.25">
      <c r="A101" s="37" t="s">
        <v>122</v>
      </c>
      <c r="B101" s="6" t="s">
        <v>42</v>
      </c>
      <c r="C101" s="6">
        <v>2</v>
      </c>
      <c r="D101" s="38">
        <f>(D8-2*V82)/E97</f>
        <v>6.5433030508157586</v>
      </c>
      <c r="E101" s="38">
        <f t="shared" si="20"/>
        <v>19.65608236465054</v>
      </c>
      <c r="F101" s="7">
        <f t="shared" si="21"/>
        <v>58.968247093951618</v>
      </c>
      <c r="G101" s="37"/>
      <c r="H101" s="38"/>
      <c r="I101" s="38"/>
      <c r="J101" s="7"/>
      <c r="O101" s="35"/>
      <c r="P101" s="36"/>
      <c r="Q101" s="36">
        <f>SUM(Q99:Q100)</f>
        <v>9.7973333333333343</v>
      </c>
      <c r="R101" s="36"/>
      <c r="S101" s="36"/>
      <c r="T101" s="36"/>
      <c r="U101" s="36"/>
      <c r="V101" s="36"/>
      <c r="W101" s="13"/>
    </row>
    <row r="102" spans="1:23" x14ac:dyDescent="0.2">
      <c r="A102" s="37" t="s">
        <v>123</v>
      </c>
      <c r="B102" s="6" t="s">
        <v>40</v>
      </c>
      <c r="C102" s="6">
        <f>ROUND(D8-2*V82,0)+1</f>
        <v>7</v>
      </c>
      <c r="D102" s="38">
        <v>4.9166670000000003</v>
      </c>
      <c r="E102" s="38">
        <f t="shared" si="20"/>
        <v>22.990334892</v>
      </c>
      <c r="F102" s="7">
        <f t="shared" si="21"/>
        <v>68.971004676000007</v>
      </c>
      <c r="G102" s="37"/>
      <c r="H102" s="38"/>
      <c r="I102" s="43" t="s">
        <v>147</v>
      </c>
      <c r="J102" s="7">
        <f>(I99+I100)*E22/E97</f>
        <v>4.9796460717605218</v>
      </c>
    </row>
    <row r="103" spans="1:23" x14ac:dyDescent="0.2">
      <c r="A103" s="37" t="s">
        <v>127</v>
      </c>
      <c r="B103" s="6" t="s">
        <v>42</v>
      </c>
      <c r="C103" s="6">
        <v>1</v>
      </c>
      <c r="D103" s="38">
        <v>4</v>
      </c>
      <c r="E103" s="38">
        <f t="shared" si="20"/>
        <v>6.008</v>
      </c>
      <c r="F103" s="7">
        <f t="shared" si="21"/>
        <v>18.024000000000001</v>
      </c>
      <c r="G103" s="37"/>
      <c r="H103" s="38"/>
      <c r="I103" s="43"/>
      <c r="J103" s="7"/>
    </row>
    <row r="104" spans="1:23" ht="13.5" thickBot="1" x14ac:dyDescent="0.25">
      <c r="A104" s="37" t="s">
        <v>131</v>
      </c>
      <c r="B104" s="6" t="s">
        <v>42</v>
      </c>
      <c r="C104" s="6">
        <v>1</v>
      </c>
      <c r="D104" s="38">
        <f>D8/E97</f>
        <v>11.547005383792515</v>
      </c>
      <c r="E104" s="38">
        <f t="shared" si="20"/>
        <v>17.343602086456357</v>
      </c>
      <c r="F104" s="7">
        <f t="shared" si="21"/>
        <v>52.030806259369072</v>
      </c>
      <c r="G104" s="35"/>
      <c r="H104" s="36"/>
      <c r="I104" s="57" t="s">
        <v>146</v>
      </c>
      <c r="J104" s="13">
        <f>(I99+I100*2)*E22</f>
        <v>4.875</v>
      </c>
    </row>
    <row r="105" spans="1:23" ht="13.5" thickBot="1" x14ac:dyDescent="0.25">
      <c r="A105" s="35"/>
      <c r="B105" s="11"/>
      <c r="C105" s="11"/>
      <c r="D105" s="36"/>
      <c r="E105" s="36"/>
      <c r="F105" s="13">
        <f>SUM(F99:F104)</f>
        <v>250.02486428868974</v>
      </c>
    </row>
    <row r="106" spans="1:23" x14ac:dyDescent="0.2">
      <c r="A106" s="3" t="s">
        <v>135</v>
      </c>
      <c r="B106" s="4"/>
      <c r="C106" s="4"/>
      <c r="D106" s="4"/>
      <c r="E106" s="4"/>
      <c r="F106" s="5"/>
    </row>
    <row r="107" spans="1:23" x14ac:dyDescent="0.2">
      <c r="A107" s="37"/>
      <c r="B107" s="38" t="s">
        <v>17</v>
      </c>
      <c r="C107" s="38" t="s">
        <v>114</v>
      </c>
      <c r="D107" s="38" t="s">
        <v>85</v>
      </c>
      <c r="E107" s="38" t="s">
        <v>133</v>
      </c>
      <c r="F107" s="7" t="s">
        <v>134</v>
      </c>
      <c r="O107" s="564" t="s">
        <v>543</v>
      </c>
      <c r="P107">
        <f>D8</f>
        <v>10</v>
      </c>
      <c r="Q107" t="s">
        <v>89</v>
      </c>
    </row>
    <row r="108" spans="1:23" x14ac:dyDescent="0.2">
      <c r="A108" s="37" t="s">
        <v>124</v>
      </c>
      <c r="B108" s="6" t="s">
        <v>40</v>
      </c>
      <c r="C108" s="6">
        <f>W82</f>
        <v>4</v>
      </c>
      <c r="D108" s="38">
        <f>D8-2*V82</f>
        <v>5.666666666666667</v>
      </c>
      <c r="E108" s="38">
        <f>D108*C108*VLOOKUP(B108,$D$74:$H$78,5,FALSE)</f>
        <v>15.141333333333336</v>
      </c>
      <c r="F108" s="7">
        <f>E108*$E$22</f>
        <v>45.424000000000007</v>
      </c>
      <c r="O108" s="564" t="s">
        <v>541</v>
      </c>
      <c r="P108">
        <f>D9+S76</f>
        <v>5.6669999999999998</v>
      </c>
      <c r="Q108" t="s">
        <v>89</v>
      </c>
    </row>
    <row r="109" spans="1:23" x14ac:dyDescent="0.2">
      <c r="A109" s="37" t="s">
        <v>125</v>
      </c>
      <c r="B109" s="6" t="s">
        <v>42</v>
      </c>
      <c r="C109" s="6">
        <v>2</v>
      </c>
      <c r="D109" s="38">
        <f>D8-2*V82</f>
        <v>5.666666666666667</v>
      </c>
      <c r="E109" s="38">
        <f>D109*C109*VLOOKUP(B109,$D$74:$H$78,5,FALSE)</f>
        <v>17.022666666666666</v>
      </c>
      <c r="F109" s="7">
        <f>E109*$E$22</f>
        <v>51.067999999999998</v>
      </c>
      <c r="S109" t="s">
        <v>547</v>
      </c>
    </row>
    <row r="110" spans="1:23" x14ac:dyDescent="0.2">
      <c r="A110" s="37" t="s">
        <v>126</v>
      </c>
      <c r="B110" s="6" t="s">
        <v>40</v>
      </c>
      <c r="C110" s="6">
        <f>ROUND(D8-2*V82,0)+1</f>
        <v>7</v>
      </c>
      <c r="D110" s="38">
        <f>X82</f>
        <v>0</v>
      </c>
      <c r="E110" s="38">
        <f>D110*C110*VLOOKUP(B110,$D$74:$H$78,5,FALSE)</f>
        <v>0</v>
      </c>
      <c r="F110" s="7">
        <f>E110*$E$22</f>
        <v>0</v>
      </c>
      <c r="O110" s="564" t="s">
        <v>540</v>
      </c>
      <c r="P110">
        <v>0.625</v>
      </c>
      <c r="R110" t="s">
        <v>546</v>
      </c>
      <c r="S110" t="s">
        <v>548</v>
      </c>
    </row>
    <row r="111" spans="1:23" x14ac:dyDescent="0.2">
      <c r="A111" s="37" t="s">
        <v>127</v>
      </c>
      <c r="B111" s="6" t="s">
        <v>42</v>
      </c>
      <c r="C111" s="6">
        <v>1</v>
      </c>
      <c r="D111" s="38">
        <v>4</v>
      </c>
      <c r="E111" s="38">
        <f>D111*C111*VLOOKUP(B111,$D$74:$H$78,5,FALSE)</f>
        <v>6.008</v>
      </c>
      <c r="F111" s="7">
        <f>E111*$E$22</f>
        <v>18.024000000000001</v>
      </c>
      <c r="O111" s="564" t="s">
        <v>544</v>
      </c>
      <c r="P111" s="226">
        <f>MIN(6,P110*P107)</f>
        <v>6</v>
      </c>
      <c r="Q111" t="s">
        <v>89</v>
      </c>
      <c r="R111">
        <f>IF(P108&gt;P111,P108-P111,0)</f>
        <v>0</v>
      </c>
      <c r="S111">
        <f>D9-R111</f>
        <v>4</v>
      </c>
      <c r="T111" s="226"/>
    </row>
    <row r="112" spans="1:23" ht="13.5" thickBot="1" x14ac:dyDescent="0.25">
      <c r="A112" s="35"/>
      <c r="B112" s="36"/>
      <c r="C112" s="36"/>
      <c r="D112" s="36"/>
      <c r="E112" s="36"/>
      <c r="F112" s="13">
        <f>SUM(F108:F111)</f>
        <v>114.51600000000001</v>
      </c>
      <c r="O112" s="564" t="s">
        <v>542</v>
      </c>
      <c r="P112" s="612">
        <f>P110*IF(I11&gt;1,I11,1)</f>
        <v>0.625</v>
      </c>
    </row>
    <row r="113" spans="15:19" x14ac:dyDescent="0.2">
      <c r="O113" s="564" t="s">
        <v>545</v>
      </c>
      <c r="P113" s="162">
        <f>MIN(IF(I11&gt;1,P111*I11,P111),P112*P107)</f>
        <v>6</v>
      </c>
      <c r="Q113" t="s">
        <v>89</v>
      </c>
      <c r="R113">
        <f>IF(P108&gt;P113,P108-P113,0)</f>
        <v>0</v>
      </c>
      <c r="S113">
        <f>D9-R113</f>
        <v>4</v>
      </c>
    </row>
  </sheetData>
  <phoneticPr fontId="2" type="noConversion"/>
  <conditionalFormatting sqref="Q10:V54 S4">
    <cfRule type="cellIs" dxfId="7" priority="3" stopIfTrue="1" operator="equal">
      <formula>VLOOKUP($P4,$U$76:$V$78,2,FALSE)</formula>
    </cfRule>
  </conditionalFormatting>
  <conditionalFormatting sqref="E16">
    <cfRule type="cellIs" dxfId="6" priority="1" operator="equal">
      <formula>VLOOKUP(D16,$U$76:$V$78,2,FALSE)</formula>
    </cfRule>
  </conditionalFormatting>
  <dataValidations count="1">
    <dataValidation type="list" allowBlank="1" showInputMessage="1" showErrorMessage="1" sqref="D7">
      <formula1>$C$60:$C$68</formula1>
    </dataValidation>
  </dataValidations>
  <pageMargins left="0.5" right="0.5" top="1" bottom="1" header="0.5" footer="0.5"/>
  <pageSetup scale="96" orientation="portrait" r:id="rId1"/>
  <headerFooter alignWithMargins="0">
    <oddHeader>&amp;CPossible LRFD Deck Chart</oddHeader>
    <oddFooter>&amp;L&amp;D</oddFooter>
  </headerFooter>
  <ignoredErrors>
    <ignoredError sqref="E6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C1:CK87"/>
  <sheetViews>
    <sheetView topLeftCell="B1" workbookViewId="0">
      <selection activeCell="D7" sqref="D7"/>
    </sheetView>
  </sheetViews>
  <sheetFormatPr defaultRowHeight="12.75" x14ac:dyDescent="0.2"/>
  <cols>
    <col min="3" max="3" width="6.85546875" customWidth="1"/>
    <col min="58" max="75" width="9.140625" customWidth="1"/>
  </cols>
  <sheetData>
    <row r="1" spans="3:86" ht="13.5" thickBot="1" x14ac:dyDescent="0.25">
      <c r="S1" s="3" t="s">
        <v>343</v>
      </c>
      <c r="T1" s="353">
        <v>2.5</v>
      </c>
      <c r="U1" s="357" t="s">
        <v>388</v>
      </c>
      <c r="V1" s="357"/>
      <c r="W1" s="357"/>
      <c r="X1" s="357"/>
      <c r="Y1" s="357"/>
    </row>
    <row r="2" spans="3:86" ht="14.25" thickBot="1" x14ac:dyDescent="0.3">
      <c r="P2" t="s">
        <v>334</v>
      </c>
      <c r="S2" s="272" t="s">
        <v>629</v>
      </c>
      <c r="T2" s="354">
        <v>11</v>
      </c>
      <c r="U2" s="708" t="s">
        <v>651</v>
      </c>
      <c r="V2" s="356">
        <v>3.5437500000000002</v>
      </c>
      <c r="AA2" s="39" t="s">
        <v>389</v>
      </c>
      <c r="AB2" s="363">
        <v>2.5</v>
      </c>
      <c r="AC2" s="76" t="s">
        <v>391</v>
      </c>
      <c r="AD2" s="364">
        <v>0.5</v>
      </c>
      <c r="AI2" s="703" t="s">
        <v>615</v>
      </c>
      <c r="AJ2" s="388"/>
      <c r="AK2" s="388"/>
      <c r="AL2" s="388"/>
      <c r="AM2" s="388"/>
    </row>
    <row r="3" spans="3:86" ht="16.5" thickBot="1" x14ac:dyDescent="0.35">
      <c r="S3" s="707" t="s">
        <v>650</v>
      </c>
      <c r="T3" s="355">
        <v>25.944687500000001</v>
      </c>
      <c r="U3" s="709" t="s">
        <v>652</v>
      </c>
      <c r="V3" s="355">
        <v>12.23</v>
      </c>
      <c r="AA3" s="39" t="s">
        <v>390</v>
      </c>
      <c r="AB3" s="364">
        <v>1</v>
      </c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Z3" s="3" t="s">
        <v>340</v>
      </c>
      <c r="BA3" s="5"/>
    </row>
    <row r="4" spans="3:86" ht="13.5" thickBot="1" x14ac:dyDescent="0.25">
      <c r="P4" s="352" t="s">
        <v>387</v>
      </c>
      <c r="S4" s="272" t="s">
        <v>271</v>
      </c>
      <c r="T4" s="354" t="s">
        <v>42</v>
      </c>
      <c r="U4" s="37" t="s">
        <v>272</v>
      </c>
      <c r="V4" s="354">
        <v>2</v>
      </c>
      <c r="AZ4" s="35">
        <f>'Find Required Area of Steel'!E19</f>
        <v>0.76216850089267918</v>
      </c>
      <c r="BA4" s="7"/>
    </row>
    <row r="5" spans="3:86" ht="13.5" thickBot="1" x14ac:dyDescent="0.25">
      <c r="C5" s="3"/>
      <c r="D5" s="4"/>
      <c r="E5" s="4"/>
      <c r="F5" s="4"/>
      <c r="G5" s="4"/>
      <c r="H5" s="4"/>
      <c r="I5" s="4"/>
      <c r="J5" s="4"/>
      <c r="K5" s="4"/>
      <c r="L5" s="4"/>
      <c r="M5" s="361" t="s">
        <v>331</v>
      </c>
      <c r="N5" s="4"/>
      <c r="O5" s="5"/>
      <c r="S5" s="273" t="s">
        <v>18</v>
      </c>
      <c r="T5" s="433">
        <f>'Find Required Area of Steel'!I7</f>
        <v>6.75</v>
      </c>
      <c r="U5" s="35" t="s">
        <v>58</v>
      </c>
      <c r="V5" s="13">
        <f>'Find Required Area of Steel'!I3</f>
        <v>6</v>
      </c>
      <c r="X5" s="432">
        <f>'Find Required Area of Steel'!E54</f>
        <v>6.0192415706117544</v>
      </c>
      <c r="Y5" s="40" t="s">
        <v>361</v>
      </c>
      <c r="BA5" s="276">
        <f>CI79</f>
        <v>1.7916666666666667</v>
      </c>
      <c r="BB5" s="277">
        <f>CI80</f>
        <v>0.91666666666666663</v>
      </c>
      <c r="BC5" s="277">
        <f>CI81</f>
        <v>1.1666666333333333</v>
      </c>
      <c r="BD5" s="277">
        <f>CI82</f>
        <v>1.5</v>
      </c>
      <c r="BE5" s="277">
        <f>CI83</f>
        <v>2.25</v>
      </c>
      <c r="BF5" s="278">
        <f>CI87</f>
        <v>0.5</v>
      </c>
      <c r="CG5" t="s">
        <v>206</v>
      </c>
    </row>
    <row r="6" spans="3:86" ht="13.5" thickBot="1" x14ac:dyDescent="0.25">
      <c r="C6" s="35" t="s">
        <v>428</v>
      </c>
      <c r="D6" s="36"/>
      <c r="E6" s="36"/>
      <c r="F6" s="36"/>
      <c r="G6" s="36"/>
      <c r="H6" s="36"/>
      <c r="I6" s="36"/>
      <c r="J6" s="36"/>
      <c r="K6" s="36"/>
      <c r="L6" s="36"/>
      <c r="M6" s="362" t="s">
        <v>332</v>
      </c>
      <c r="N6" s="36"/>
      <c r="O6" s="13"/>
      <c r="P6" s="228">
        <v>0</v>
      </c>
      <c r="Q6" s="228">
        <v>1</v>
      </c>
      <c r="R6" s="228">
        <v>2</v>
      </c>
      <c r="S6" s="228">
        <v>3</v>
      </c>
      <c r="T6" s="228">
        <v>4</v>
      </c>
      <c r="U6" s="228">
        <v>5</v>
      </c>
      <c r="V6" s="228">
        <v>6</v>
      </c>
      <c r="W6" s="228">
        <v>7</v>
      </c>
      <c r="X6" s="228">
        <v>8</v>
      </c>
      <c r="Y6" s="228">
        <v>9</v>
      </c>
      <c r="Z6" s="228">
        <v>10</v>
      </c>
      <c r="AA6" s="228">
        <v>11</v>
      </c>
      <c r="AB6" s="228">
        <v>12</v>
      </c>
      <c r="AC6" s="228">
        <v>13</v>
      </c>
      <c r="AD6" s="228">
        <v>14</v>
      </c>
      <c r="AE6" s="228">
        <v>15</v>
      </c>
      <c r="AF6" s="228">
        <v>16</v>
      </c>
      <c r="AG6" s="228">
        <v>17</v>
      </c>
      <c r="AH6" s="228">
        <v>18</v>
      </c>
      <c r="AI6" s="228">
        <v>19</v>
      </c>
      <c r="AJ6" s="228">
        <v>20</v>
      </c>
      <c r="AK6" s="228">
        <v>21</v>
      </c>
      <c r="AL6" s="228">
        <v>22</v>
      </c>
      <c r="AM6" s="228">
        <v>23</v>
      </c>
      <c r="AN6" s="228">
        <v>24</v>
      </c>
      <c r="AO6" s="228">
        <v>25</v>
      </c>
      <c r="AP6" s="228">
        <v>26</v>
      </c>
      <c r="AQ6" s="228">
        <v>27</v>
      </c>
      <c r="AR6" s="228">
        <v>28</v>
      </c>
      <c r="AS6" s="228">
        <v>29</v>
      </c>
      <c r="AT6" s="228">
        <v>30</v>
      </c>
      <c r="AU6" s="228">
        <v>31</v>
      </c>
      <c r="AV6" s="228">
        <v>32</v>
      </c>
      <c r="AW6" s="228">
        <v>33</v>
      </c>
      <c r="AX6" s="228">
        <v>34</v>
      </c>
      <c r="AY6" s="228">
        <v>35</v>
      </c>
      <c r="AZ6" s="228">
        <v>36</v>
      </c>
      <c r="BA6" s="228">
        <v>37</v>
      </c>
      <c r="BB6" s="228">
        <v>38</v>
      </c>
      <c r="BC6" s="228">
        <v>39</v>
      </c>
      <c r="BD6" s="228">
        <v>40</v>
      </c>
      <c r="BE6" s="228">
        <v>41</v>
      </c>
      <c r="BF6" s="228">
        <v>42</v>
      </c>
      <c r="BG6" s="228">
        <v>43</v>
      </c>
      <c r="BH6" s="228">
        <v>44</v>
      </c>
      <c r="BI6" s="228">
        <v>45</v>
      </c>
      <c r="BJ6" s="228">
        <v>46</v>
      </c>
      <c r="BK6" s="228">
        <v>47</v>
      </c>
      <c r="BL6" s="228">
        <v>48</v>
      </c>
      <c r="BM6" s="228">
        <v>49</v>
      </c>
      <c r="BN6" s="228">
        <v>50</v>
      </c>
      <c r="BO6" s="228">
        <v>51</v>
      </c>
      <c r="BP6" s="228">
        <v>52</v>
      </c>
      <c r="CG6" t="s">
        <v>207</v>
      </c>
    </row>
    <row r="7" spans="3:86" x14ac:dyDescent="0.2">
      <c r="C7" s="14"/>
      <c r="D7" s="292">
        <v>1.75</v>
      </c>
      <c r="E7" s="72" t="s">
        <v>200</v>
      </c>
      <c r="F7" s="4"/>
      <c r="G7" s="4"/>
      <c r="H7" s="4"/>
      <c r="I7" s="4"/>
      <c r="J7" s="4"/>
      <c r="K7" s="4"/>
      <c r="L7" s="4"/>
      <c r="M7" s="4"/>
      <c r="N7" s="4"/>
      <c r="O7" s="5"/>
      <c r="P7" s="14"/>
      <c r="Q7" s="257" t="s">
        <v>392</v>
      </c>
      <c r="R7" s="91"/>
      <c r="S7" s="3" t="s">
        <v>630</v>
      </c>
      <c r="T7" s="4"/>
      <c r="U7" s="4" t="s">
        <v>383</v>
      </c>
      <c r="V7" s="5"/>
      <c r="W7" s="3"/>
      <c r="X7" s="5"/>
      <c r="Y7" s="242" t="s">
        <v>336</v>
      </c>
      <c r="Z7" s="251" t="s">
        <v>356</v>
      </c>
      <c r="AA7" s="299">
        <v>12</v>
      </c>
      <c r="AB7" s="299"/>
      <c r="AC7" s="299" t="s">
        <v>337</v>
      </c>
      <c r="AD7" s="300"/>
      <c r="AE7" s="298">
        <v>5.3</v>
      </c>
      <c r="AF7" s="299"/>
      <c r="AG7" s="299"/>
      <c r="AH7" s="300"/>
      <c r="AI7" s="298">
        <v>6.7</v>
      </c>
      <c r="AJ7" s="299"/>
      <c r="AK7" s="299"/>
      <c r="AL7" s="300"/>
      <c r="AM7" s="298">
        <v>10</v>
      </c>
      <c r="AN7" s="299"/>
      <c r="AO7" s="299"/>
      <c r="AP7" s="300"/>
      <c r="AQ7" s="298">
        <v>15</v>
      </c>
      <c r="AR7" s="299"/>
      <c r="AS7" s="306"/>
      <c r="AT7" s="91"/>
      <c r="AU7" s="298">
        <v>3</v>
      </c>
      <c r="AV7" s="299" t="s">
        <v>397</v>
      </c>
      <c r="AW7" s="306"/>
      <c r="AX7" s="91"/>
      <c r="AY7" s="235" t="s">
        <v>342</v>
      </c>
      <c r="AZ7" s="235"/>
      <c r="BA7" s="235"/>
      <c r="BB7" s="235"/>
      <c r="BC7" s="235"/>
      <c r="BD7" s="235"/>
      <c r="BE7" s="235"/>
      <c r="BF7" s="236"/>
      <c r="BK7" s="399" t="s">
        <v>403</v>
      </c>
      <c r="BL7" s="235"/>
      <c r="BM7" s="235"/>
      <c r="BN7" s="235"/>
      <c r="BO7" s="235"/>
      <c r="BP7" s="236"/>
      <c r="BR7" s="457" t="s">
        <v>461</v>
      </c>
      <c r="BS7" s="277"/>
      <c r="BT7" s="277"/>
      <c r="BU7" s="277"/>
      <c r="BV7" s="277"/>
      <c r="BW7" s="278"/>
      <c r="BY7" s="457" t="s">
        <v>462</v>
      </c>
      <c r="BZ7" s="277"/>
      <c r="CA7" s="277"/>
      <c r="CB7" s="277"/>
      <c r="CC7" s="277"/>
      <c r="CD7" s="278"/>
      <c r="CG7" t="s">
        <v>208</v>
      </c>
    </row>
    <row r="8" spans="3:86" x14ac:dyDescent="0.2">
      <c r="C8" s="15"/>
      <c r="D8" s="265" t="s">
        <v>203</v>
      </c>
      <c r="E8" s="325" t="s">
        <v>201</v>
      </c>
      <c r="F8" s="38"/>
      <c r="G8" s="38"/>
      <c r="H8" s="38"/>
      <c r="I8" s="38"/>
      <c r="J8" s="38"/>
      <c r="K8" s="38"/>
      <c r="L8" s="38"/>
      <c r="M8" s="38"/>
      <c r="N8" s="38"/>
      <c r="O8" s="7"/>
      <c r="P8" s="15"/>
      <c r="Q8" s="301" t="s">
        <v>336</v>
      </c>
      <c r="R8" s="241" t="s">
        <v>363</v>
      </c>
      <c r="S8" s="8">
        <v>1.25</v>
      </c>
      <c r="T8" s="6">
        <v>1.25</v>
      </c>
      <c r="U8" s="6">
        <v>1.5</v>
      </c>
      <c r="V8" s="79">
        <v>1.5</v>
      </c>
      <c r="W8" s="304" t="s">
        <v>384</v>
      </c>
      <c r="X8" s="301" t="s">
        <v>386</v>
      </c>
      <c r="Y8" s="322" t="s">
        <v>56</v>
      </c>
      <c r="Z8" s="253" t="s">
        <v>357</v>
      </c>
      <c r="AA8" s="296" t="s">
        <v>25</v>
      </c>
      <c r="AB8" s="241"/>
      <c r="AC8" s="241" t="s">
        <v>25</v>
      </c>
      <c r="AD8" s="301" t="s">
        <v>58</v>
      </c>
      <c r="AE8" s="304" t="s">
        <v>1</v>
      </c>
      <c r="AF8" s="241"/>
      <c r="AG8" s="230" t="s">
        <v>1</v>
      </c>
      <c r="AH8" s="301" t="s">
        <v>58</v>
      </c>
      <c r="AI8" s="304" t="s">
        <v>2</v>
      </c>
      <c r="AJ8" s="241"/>
      <c r="AK8" s="230" t="s">
        <v>2</v>
      </c>
      <c r="AL8" s="301" t="s">
        <v>58</v>
      </c>
      <c r="AM8" s="304" t="s">
        <v>3</v>
      </c>
      <c r="AN8" s="241"/>
      <c r="AO8" s="230" t="s">
        <v>3</v>
      </c>
      <c r="AP8" s="301" t="s">
        <v>58</v>
      </c>
      <c r="AQ8" s="304" t="s">
        <v>109</v>
      </c>
      <c r="AR8" s="241"/>
      <c r="AS8" s="230" t="s">
        <v>109</v>
      </c>
      <c r="AT8" s="301" t="s">
        <v>58</v>
      </c>
      <c r="AU8" s="304" t="s">
        <v>56</v>
      </c>
      <c r="AV8" s="241"/>
      <c r="AW8" s="230" t="s">
        <v>56</v>
      </c>
      <c r="AX8" s="301" t="s">
        <v>58</v>
      </c>
      <c r="AY8" s="296" t="s">
        <v>341</v>
      </c>
      <c r="AZ8" s="230" t="s">
        <v>341</v>
      </c>
      <c r="BA8" s="230" t="s">
        <v>25</v>
      </c>
      <c r="BB8" s="230" t="s">
        <v>1</v>
      </c>
      <c r="BC8" s="230" t="s">
        <v>2</v>
      </c>
      <c r="BD8" s="230" t="s">
        <v>3</v>
      </c>
      <c r="BE8" s="230" t="s">
        <v>109</v>
      </c>
      <c r="BF8" s="230" t="s">
        <v>56</v>
      </c>
      <c r="BG8" s="403"/>
      <c r="BH8" s="403"/>
      <c r="BI8" s="403" t="s">
        <v>341</v>
      </c>
      <c r="BJ8" s="404" t="s">
        <v>404</v>
      </c>
      <c r="BK8" s="230" t="s">
        <v>25</v>
      </c>
      <c r="BL8" s="230" t="s">
        <v>1</v>
      </c>
      <c r="BM8" s="230" t="s">
        <v>2</v>
      </c>
      <c r="BN8" s="230" t="s">
        <v>3</v>
      </c>
      <c r="BO8" s="230" t="s">
        <v>109</v>
      </c>
      <c r="BP8" s="230" t="s">
        <v>56</v>
      </c>
      <c r="BR8" s="230" t="s">
        <v>25</v>
      </c>
      <c r="BS8" s="230" t="s">
        <v>1</v>
      </c>
      <c r="BT8" s="230" t="s">
        <v>2</v>
      </c>
      <c r="BU8" s="230" t="s">
        <v>3</v>
      </c>
      <c r="BV8" s="230" t="s">
        <v>109</v>
      </c>
      <c r="BW8" s="230" t="s">
        <v>56</v>
      </c>
      <c r="BY8" s="230" t="s">
        <v>25</v>
      </c>
      <c r="BZ8" s="230" t="s">
        <v>1</v>
      </c>
      <c r="CA8" s="230" t="s">
        <v>2</v>
      </c>
      <c r="CB8" s="230" t="s">
        <v>3</v>
      </c>
      <c r="CC8" s="230" t="s">
        <v>109</v>
      </c>
      <c r="CD8" s="230" t="s">
        <v>56</v>
      </c>
      <c r="CH8" t="s">
        <v>631</v>
      </c>
    </row>
    <row r="9" spans="3:86" ht="13.5" thickBot="1" x14ac:dyDescent="0.25">
      <c r="C9" s="340" t="s">
        <v>202</v>
      </c>
      <c r="D9" s="340" t="s">
        <v>231</v>
      </c>
      <c r="E9" s="326">
        <v>0</v>
      </c>
      <c r="F9" s="327">
        <v>3</v>
      </c>
      <c r="G9" s="327">
        <v>5.3</v>
      </c>
      <c r="H9" s="327">
        <v>6</v>
      </c>
      <c r="I9" s="327">
        <v>6.7</v>
      </c>
      <c r="J9" s="327">
        <v>9</v>
      </c>
      <c r="K9" s="328">
        <v>10</v>
      </c>
      <c r="L9" s="327">
        <v>12</v>
      </c>
      <c r="M9" s="328">
        <v>15</v>
      </c>
      <c r="N9" s="327">
        <v>18</v>
      </c>
      <c r="O9" s="329">
        <v>24</v>
      </c>
      <c r="P9" s="373" t="s">
        <v>629</v>
      </c>
      <c r="Q9" s="303" t="s">
        <v>271</v>
      </c>
      <c r="R9" s="323" t="s">
        <v>271</v>
      </c>
      <c r="S9" s="10" t="s">
        <v>379</v>
      </c>
      <c r="T9" s="11" t="s">
        <v>380</v>
      </c>
      <c r="U9" s="11" t="s">
        <v>381</v>
      </c>
      <c r="V9" s="48" t="s">
        <v>382</v>
      </c>
      <c r="W9" s="305" t="s">
        <v>385</v>
      </c>
      <c r="X9" s="318" t="s">
        <v>385</v>
      </c>
      <c r="Y9" s="386" t="s">
        <v>18</v>
      </c>
      <c r="Z9" s="387" t="s">
        <v>58</v>
      </c>
      <c r="AA9" s="315" t="s">
        <v>335</v>
      </c>
      <c r="AB9" s="302" t="s">
        <v>358</v>
      </c>
      <c r="AC9" s="385" t="s">
        <v>18</v>
      </c>
      <c r="AD9" s="384" t="s">
        <v>18</v>
      </c>
      <c r="AE9" s="305" t="s">
        <v>335</v>
      </c>
      <c r="AF9" s="302" t="s">
        <v>358</v>
      </c>
      <c r="AG9" s="383" t="s">
        <v>18</v>
      </c>
      <c r="AH9" s="384" t="s">
        <v>18</v>
      </c>
      <c r="AI9" s="305" t="s">
        <v>335</v>
      </c>
      <c r="AJ9" s="302" t="s">
        <v>358</v>
      </c>
      <c r="AK9" s="383" t="s">
        <v>18</v>
      </c>
      <c r="AL9" s="384" t="s">
        <v>18</v>
      </c>
      <c r="AM9" s="305" t="s">
        <v>335</v>
      </c>
      <c r="AN9" s="302" t="s">
        <v>358</v>
      </c>
      <c r="AO9" s="383" t="s">
        <v>18</v>
      </c>
      <c r="AP9" s="384" t="s">
        <v>18</v>
      </c>
      <c r="AQ9" s="305" t="s">
        <v>335</v>
      </c>
      <c r="AR9" s="302" t="s">
        <v>358</v>
      </c>
      <c r="AS9" s="383" t="s">
        <v>18</v>
      </c>
      <c r="AT9" s="384" t="s">
        <v>18</v>
      </c>
      <c r="AU9" s="305" t="s">
        <v>335</v>
      </c>
      <c r="AV9" s="302" t="s">
        <v>358</v>
      </c>
      <c r="AW9" s="383" t="s">
        <v>18</v>
      </c>
      <c r="AX9" s="384" t="s">
        <v>18</v>
      </c>
      <c r="AY9" s="297" t="s">
        <v>17</v>
      </c>
      <c r="AZ9" s="240" t="s">
        <v>18</v>
      </c>
      <c r="BA9" s="240"/>
      <c r="BB9" s="240"/>
      <c r="BC9" s="240"/>
      <c r="BD9" s="240"/>
      <c r="BE9" s="240"/>
      <c r="BF9" s="240"/>
      <c r="BG9" s="406" t="s">
        <v>396</v>
      </c>
      <c r="BH9" s="407" t="s">
        <v>395</v>
      </c>
      <c r="BI9" s="405" t="s">
        <v>274</v>
      </c>
      <c r="BJ9" s="405" t="s">
        <v>288</v>
      </c>
      <c r="BK9" s="240"/>
      <c r="BL9" s="240"/>
      <c r="BM9" s="240"/>
      <c r="BN9" s="240"/>
      <c r="BO9" s="240"/>
      <c r="BP9" s="240"/>
      <c r="BR9" s="240"/>
      <c r="BS9" s="240"/>
      <c r="BT9" s="240"/>
      <c r="BU9" s="240"/>
      <c r="BV9" s="240"/>
      <c r="BW9" s="240"/>
      <c r="BY9" s="240"/>
      <c r="BZ9" s="240"/>
      <c r="CA9" s="240"/>
      <c r="CB9" s="240"/>
      <c r="CC9" s="240"/>
      <c r="CD9" s="240"/>
      <c r="CH9" t="s">
        <v>209</v>
      </c>
    </row>
    <row r="10" spans="3:86" x14ac:dyDescent="0.2">
      <c r="C10" s="341">
        <v>4</v>
      </c>
      <c r="D10" s="358">
        <v>4.68</v>
      </c>
      <c r="E10" s="330">
        <v>2.68</v>
      </c>
      <c r="F10" s="331">
        <v>2.0699999999999998</v>
      </c>
      <c r="G10" s="332">
        <f>F10+(G$9-F$9)/(H$9-F$9)*(H10-F10)</f>
        <v>1.8169999999999999</v>
      </c>
      <c r="H10" s="331">
        <v>1.74</v>
      </c>
      <c r="I10" s="332">
        <f>H10+(I$9-H$9)/(J$9-H$9)*(J10-H10)</f>
        <v>1.7073333333333334</v>
      </c>
      <c r="J10" s="331">
        <v>1.6</v>
      </c>
      <c r="K10" s="332">
        <f>J10+(K$9-J$9)/(L$9-J$9)*(L10-J10)</f>
        <v>1.5666666666666667</v>
      </c>
      <c r="L10" s="331">
        <v>1.5</v>
      </c>
      <c r="M10" s="332">
        <f t="shared" ref="M10:M54" si="0">L10+(M$9-L$9)/(N$9-L$9)*(N10-L10)</f>
        <v>1.42</v>
      </c>
      <c r="N10" s="331">
        <v>1.34</v>
      </c>
      <c r="O10" s="333">
        <v>1.25</v>
      </c>
      <c r="P10" s="374">
        <v>7.5</v>
      </c>
      <c r="Q10" s="370" t="s">
        <v>41</v>
      </c>
      <c r="R10" s="435" t="s">
        <v>41</v>
      </c>
      <c r="S10" s="342">
        <f>T10</f>
        <v>0.15</v>
      </c>
      <c r="T10" s="343">
        <f t="shared" ref="T10:T54" si="1">P10/120*(C10^2)*0.15</f>
        <v>0.15</v>
      </c>
      <c r="U10" s="343">
        <f>V10</f>
        <v>3.2000000000000001E-2</v>
      </c>
      <c r="V10" s="344">
        <f t="shared" ref="V10:V54" si="2">0.002*(C10^2)</f>
        <v>3.2000000000000001E-2</v>
      </c>
      <c r="W10" s="308">
        <f t="shared" ref="W10:W54" si="3">S10*1.25+U10*1.5+D10*1.75</f>
        <v>8.4254999999999995</v>
      </c>
      <c r="X10" s="319">
        <f t="shared" ref="X10:X54" si="4">S10+U10+D10</f>
        <v>4.8620000000000001</v>
      </c>
      <c r="Y10" s="324">
        <v>10.75</v>
      </c>
      <c r="Z10" s="311">
        <v>10</v>
      </c>
      <c r="AA10" s="316">
        <f t="shared" ref="AA10:AA54" si="5">T10*1.25+V10*1.5+L10*1.75</f>
        <v>2.8605</v>
      </c>
      <c r="AB10" s="309">
        <f t="shared" ref="AB10:AB54" si="6">T10+V10+L10</f>
        <v>1.6819999999999999</v>
      </c>
      <c r="AC10" s="310">
        <v>19.75</v>
      </c>
      <c r="AD10" s="311">
        <v>12</v>
      </c>
      <c r="AE10" s="316">
        <f>T10*1.25+V10*1.5+G10*1.75</f>
        <v>3.4152499999999999</v>
      </c>
      <c r="AF10" s="309">
        <f>T10+V10+G10</f>
        <v>1.9989999999999999</v>
      </c>
      <c r="AG10" s="310">
        <v>19.75</v>
      </c>
      <c r="AH10" s="311">
        <v>11</v>
      </c>
      <c r="AI10" s="316">
        <f>T10*1.25+V10*1.5+I10*1.75</f>
        <v>3.2233333333333336</v>
      </c>
      <c r="AJ10" s="309">
        <f>T10+V10+I10</f>
        <v>1.8893333333333333</v>
      </c>
      <c r="AK10" s="310">
        <v>19.75</v>
      </c>
      <c r="AL10" s="311">
        <v>11.5</v>
      </c>
      <c r="AM10" s="308">
        <f t="shared" ref="AM10:AM54" si="7">T10*1.25+V10*1.5+K10*1.75</f>
        <v>2.9771666666666667</v>
      </c>
      <c r="AN10" s="309">
        <f t="shared" ref="AN10:AN54" si="8">T10+V10+K10</f>
        <v>1.7486666666666666</v>
      </c>
      <c r="AO10" s="310">
        <v>19.75</v>
      </c>
      <c r="AP10" s="311">
        <v>12</v>
      </c>
      <c r="AQ10" s="308">
        <f t="shared" ref="AQ10:AQ54" si="9">T10*1.25+V10*1.5+M10*1.75</f>
        <v>2.7204999999999999</v>
      </c>
      <c r="AR10" s="309">
        <f t="shared" ref="AR10:AR54" si="10">T10+V10+M10</f>
        <v>1.6019999999999999</v>
      </c>
      <c r="AS10" s="310">
        <v>19.75</v>
      </c>
      <c r="AT10" s="311">
        <v>12</v>
      </c>
      <c r="AU10" s="308">
        <f t="shared" ref="AU10:AU54" si="11">T10*1.25+V10*1.5+F10*1.75</f>
        <v>3.8579999999999997</v>
      </c>
      <c r="AV10" s="309">
        <f t="shared" ref="AV10:AV54" si="12">T10+V10+F10</f>
        <v>2.2519999999999998</v>
      </c>
      <c r="AW10" s="310">
        <v>19.5</v>
      </c>
      <c r="AX10" s="311">
        <v>10.25</v>
      </c>
      <c r="AY10" s="365" t="s">
        <v>40</v>
      </c>
      <c r="AZ10" s="380">
        <f t="shared" ref="AZ10:AZ53" si="13">INT(BI10/(BG10*BH10)*12*16+0.95)/16</f>
        <v>10.4375</v>
      </c>
      <c r="BA10" s="458">
        <f t="shared" ref="BA10:BA54" si="14">INT((BR10)*$BG10*($C10-BA$5)/$BI10+1.95)</f>
        <v>4</v>
      </c>
      <c r="BB10" s="458">
        <f t="shared" ref="BB10:BB54" si="15">INT((BS10)*$BG10*($C10-BB$5)/$BI10+1.95)</f>
        <v>5</v>
      </c>
      <c r="BC10" s="458">
        <f t="shared" ref="BC10:BC54" si="16">INT((BT10)*$BG10*($C10-BC$5)/$BI10+1.95)</f>
        <v>5</v>
      </c>
      <c r="BD10" s="458">
        <f t="shared" ref="BD10:BD54" si="17">INT((BU10)*$BG10*($C10-BD$5)/$BI10+1.95)</f>
        <v>4</v>
      </c>
      <c r="BE10" s="458">
        <f t="shared" ref="BE10:BE54" si="18">INT((BV10)*$BG10*($C10-BE$5)/$BI10+1.95)</f>
        <v>3</v>
      </c>
      <c r="BF10" s="458">
        <f t="shared" ref="BF10:BF54" si="19">INT((BW10)*$BG10*($C10-BF$5)/$BI10+1.95)</f>
        <v>5</v>
      </c>
      <c r="BG10" s="408">
        <v>0.34454911804512001</v>
      </c>
      <c r="BH10" s="408">
        <f t="shared" ref="BH10:BH54" si="20">IF(220/($C10-BE$5)^0.5/100&gt;0.67,0.67,220/($C10-BE$5)^0.5/100)</f>
        <v>0.67</v>
      </c>
      <c r="BI10" s="409">
        <f>VLOOKUP($AY10,'Bar Sizes'!$D$26:$F$36,3,FALSE)</f>
        <v>0.2</v>
      </c>
      <c r="BJ10" s="410">
        <f>P10-$AB$2-$AB$3</f>
        <v>4</v>
      </c>
      <c r="BK10" s="400">
        <f t="shared" ref="BK10:BK54" si="21">($C10-BA$5)/($P10-$AD$2)*12</f>
        <v>3.7857142857142847</v>
      </c>
      <c r="BL10" s="400">
        <f t="shared" ref="BL10:BL54" si="22">($C10-BB$5)/($P10-$AD$2)*12</f>
        <v>5.2857142857142865</v>
      </c>
      <c r="BM10" s="400">
        <f t="shared" ref="BM10:BM54" si="23">($C10-BC$5)/($P10-$AD$2)*12</f>
        <v>4.8571429142857134</v>
      </c>
      <c r="BN10" s="400">
        <f t="shared" ref="BN10:BN54" si="24">($C10-BD$5)/($P10-$AD$2)*12</f>
        <v>4.2857142857142856</v>
      </c>
      <c r="BO10" s="400">
        <f t="shared" ref="BO10:BO54" si="25">($C10-BE$5)/($P10-$AD$2)*12</f>
        <v>3</v>
      </c>
      <c r="BP10" s="400">
        <f t="shared" ref="BP10:BP54" si="26">($C10-BF$5)/($P10-$AD$2)*12</f>
        <v>6</v>
      </c>
      <c r="BR10" s="463">
        <f t="shared" ref="BR10:BU10" si="27">IF(220/($C10-BA$5)^0.5/100&gt;0.67,0.67,220/($C10-BA$5)^0.5/100)</f>
        <v>0.67</v>
      </c>
      <c r="BS10" s="463">
        <f t="shared" si="27"/>
        <v>0.67</v>
      </c>
      <c r="BT10" s="463">
        <f t="shared" si="27"/>
        <v>0.67</v>
      </c>
      <c r="BU10" s="463">
        <f t="shared" si="27"/>
        <v>0.67</v>
      </c>
      <c r="BV10" s="463">
        <f>IF(220/($C10-BE$5)^0.5/100&gt;0.67,0.67,220/($C10-BE$5)^0.5/100)</f>
        <v>0.67</v>
      </c>
      <c r="BW10" s="463">
        <f>IF(220/($C10-BF$5)^0.5/100&gt;0.67,0.67,220/($C10-BF$5)^0.5/100)</f>
        <v>0.67</v>
      </c>
      <c r="BX10" s="430"/>
      <c r="BY10" s="460">
        <f>INT(($C10-BA$5)/(BA10-1)*12*16+0.95)/16</f>
        <v>8.875</v>
      </c>
      <c r="BZ10" s="460">
        <f t="shared" ref="BZ10:CD10" si="28">INT(($C10-BB$5)/(BB10-1)*12*16+0.95)/16</f>
        <v>9.25</v>
      </c>
      <c r="CA10" s="460">
        <f t="shared" si="28"/>
        <v>8.5</v>
      </c>
      <c r="CB10" s="460">
        <f t="shared" si="28"/>
        <v>10</v>
      </c>
      <c r="CC10" s="460">
        <f t="shared" si="28"/>
        <v>10.5</v>
      </c>
      <c r="CD10" s="460">
        <f t="shared" si="28"/>
        <v>10.5</v>
      </c>
      <c r="CE10" s="430"/>
      <c r="CF10" s="430"/>
    </row>
    <row r="11" spans="3:86" x14ac:dyDescent="0.2">
      <c r="C11" s="267">
        <v>4.25</v>
      </c>
      <c r="D11" s="359">
        <v>4.66</v>
      </c>
      <c r="E11" s="334">
        <v>2.73</v>
      </c>
      <c r="F11" s="232">
        <v>2.25</v>
      </c>
      <c r="G11" s="233">
        <f t="shared" ref="G11:G54" si="29">F11+(G$9-F$9)/(H$9-F$9)*(H11-F11)</f>
        <v>2.02</v>
      </c>
      <c r="H11" s="232">
        <v>1.95</v>
      </c>
      <c r="I11" s="233">
        <f t="shared" ref="I11:I54" si="30">H11+(I$9-H$9)/(J$9-H$9)*(J11-H11)</f>
        <v>1.901</v>
      </c>
      <c r="J11" s="232">
        <v>1.74</v>
      </c>
      <c r="K11" s="233">
        <f t="shared" ref="K11:K54" si="31">J11+(K$9-J$9)/(L$9-J$9)*(L11-J11)</f>
        <v>1.6833333333333333</v>
      </c>
      <c r="L11" s="232">
        <v>1.57</v>
      </c>
      <c r="M11" s="233">
        <f t="shared" si="0"/>
        <v>1.4500000000000002</v>
      </c>
      <c r="N11" s="232">
        <v>1.33</v>
      </c>
      <c r="O11" s="335">
        <v>1.2</v>
      </c>
      <c r="P11" s="375">
        <v>7.5</v>
      </c>
      <c r="Q11" s="371" t="s">
        <v>41</v>
      </c>
      <c r="R11" s="436" t="s">
        <v>41</v>
      </c>
      <c r="S11" s="346">
        <f t="shared" ref="S11:S54" si="32">T11</f>
        <v>0.16933593750000001</v>
      </c>
      <c r="T11" s="347">
        <f t="shared" si="1"/>
        <v>0.16933593750000001</v>
      </c>
      <c r="U11" s="347">
        <f t="shared" ref="U11:U54" si="33">V11</f>
        <v>3.6124999999999997E-2</v>
      </c>
      <c r="V11" s="348">
        <f t="shared" si="2"/>
        <v>3.6124999999999997E-2</v>
      </c>
      <c r="W11" s="312">
        <f t="shared" si="3"/>
        <v>8.4208574218750005</v>
      </c>
      <c r="X11" s="320">
        <f t="shared" si="4"/>
        <v>4.8654609375</v>
      </c>
      <c r="Y11" s="246">
        <v>10.75</v>
      </c>
      <c r="Z11" s="247">
        <v>10</v>
      </c>
      <c r="AA11" s="307">
        <f t="shared" si="5"/>
        <v>3.0133574218749999</v>
      </c>
      <c r="AB11" s="231">
        <f t="shared" si="6"/>
        <v>1.7754609375000001</v>
      </c>
      <c r="AC11" s="234">
        <v>19.75</v>
      </c>
      <c r="AD11" s="247">
        <v>12</v>
      </c>
      <c r="AE11" s="307">
        <f t="shared" ref="AE11:AE54" si="34">T11*1.25+V11*1.5+G11*1.75</f>
        <v>3.800857421875</v>
      </c>
      <c r="AF11" s="231">
        <f t="shared" ref="AF11:AF54" si="35">T11+V11+G11</f>
        <v>2.2254609374999998</v>
      </c>
      <c r="AG11" s="234">
        <v>19.75</v>
      </c>
      <c r="AH11" s="247">
        <v>10.25</v>
      </c>
      <c r="AI11" s="307">
        <f t="shared" ref="AI11:AI54" si="36">T11*1.25+V11*1.5+I11*1.75</f>
        <v>3.5926074218749999</v>
      </c>
      <c r="AJ11" s="231">
        <f t="shared" ref="AJ11:AJ54" si="37">T11+V11+I11</f>
        <v>2.1064609375000001</v>
      </c>
      <c r="AK11" s="234">
        <v>19.75</v>
      </c>
      <c r="AL11" s="247">
        <v>10.75</v>
      </c>
      <c r="AM11" s="312">
        <f t="shared" si="7"/>
        <v>3.2116907552083331</v>
      </c>
      <c r="AN11" s="231">
        <f t="shared" si="8"/>
        <v>1.8887942708333334</v>
      </c>
      <c r="AO11" s="234">
        <v>19.75</v>
      </c>
      <c r="AP11" s="247">
        <v>11.5</v>
      </c>
      <c r="AQ11" s="312">
        <f t="shared" si="9"/>
        <v>2.8033574218750004</v>
      </c>
      <c r="AR11" s="231">
        <f t="shared" si="10"/>
        <v>1.6554609375000002</v>
      </c>
      <c r="AS11" s="234">
        <v>19.75</v>
      </c>
      <c r="AT11" s="247">
        <v>12</v>
      </c>
      <c r="AU11" s="312">
        <f t="shared" si="11"/>
        <v>4.2033574218750003</v>
      </c>
      <c r="AV11" s="231">
        <f t="shared" si="12"/>
        <v>2.4554609374999998</v>
      </c>
      <c r="AW11" s="234">
        <v>18</v>
      </c>
      <c r="AX11" s="247">
        <v>9.75</v>
      </c>
      <c r="AY11" s="345" t="s">
        <v>40</v>
      </c>
      <c r="AZ11" s="381">
        <f t="shared" si="13"/>
        <v>10.4375</v>
      </c>
      <c r="BA11" s="239">
        <f t="shared" si="14"/>
        <v>4</v>
      </c>
      <c r="BB11" s="239">
        <f t="shared" si="15"/>
        <v>5</v>
      </c>
      <c r="BC11" s="239">
        <f t="shared" si="16"/>
        <v>5</v>
      </c>
      <c r="BD11" s="239">
        <f t="shared" si="17"/>
        <v>5</v>
      </c>
      <c r="BE11" s="239">
        <f t="shared" si="18"/>
        <v>4</v>
      </c>
      <c r="BF11" s="239">
        <f t="shared" si="19"/>
        <v>6</v>
      </c>
      <c r="BG11" s="232">
        <v>0.34434998801577538</v>
      </c>
      <c r="BH11" s="232">
        <f t="shared" si="20"/>
        <v>0.67</v>
      </c>
      <c r="BI11" s="411">
        <f>VLOOKUP($AY11,'Bar Sizes'!$D$26:$F$36,3,FALSE)</f>
        <v>0.2</v>
      </c>
      <c r="BJ11" s="381">
        <f t="shared" ref="BJ11:BJ54" si="38">P11-$AB$2-$AB$3</f>
        <v>4</v>
      </c>
      <c r="BK11" s="401">
        <f t="shared" si="21"/>
        <v>4.2142857142857135</v>
      </c>
      <c r="BL11" s="401">
        <f t="shared" si="22"/>
        <v>5.7142857142857144</v>
      </c>
      <c r="BM11" s="401">
        <f t="shared" si="23"/>
        <v>5.2857143428571423</v>
      </c>
      <c r="BN11" s="401">
        <f t="shared" si="24"/>
        <v>4.7142857142857144</v>
      </c>
      <c r="BO11" s="401">
        <f t="shared" si="25"/>
        <v>3.4285714285714284</v>
      </c>
      <c r="BP11" s="401">
        <f t="shared" si="26"/>
        <v>6.4285714285714288</v>
      </c>
      <c r="BR11" s="464">
        <f t="shared" ref="BR11:BR54" si="39">IF(220/($C11-BA$5)^0.5/100&gt;0.67,0.67,220/($C11-BA$5)^0.5/100)</f>
        <v>0.67</v>
      </c>
      <c r="BS11" s="464">
        <f t="shared" ref="BS11:BS54" si="40">IF(220/($C11-BB$5)^0.5/100&gt;0.67,0.67,220/($C11-BB$5)^0.5/100)</f>
        <v>0.67</v>
      </c>
      <c r="BT11" s="464">
        <f t="shared" ref="BT11:BT54" si="41">IF(220/($C11-BC$5)^0.5/100&gt;0.67,0.67,220/($C11-BC$5)^0.5/100)</f>
        <v>0.67</v>
      </c>
      <c r="BU11" s="464">
        <f t="shared" ref="BU11:BU54" si="42">IF(220/($C11-BD$5)^0.5/100&gt;0.67,0.67,220/($C11-BD$5)^0.5/100)</f>
        <v>0.67</v>
      </c>
      <c r="BV11" s="464">
        <f t="shared" ref="BV11:BV54" si="43">IF(220/($C11-BE$5)^0.5/100&gt;0.67,0.67,220/($C11-BE$5)^0.5/100)</f>
        <v>0.67</v>
      </c>
      <c r="BW11" s="464">
        <f t="shared" ref="BW11:BW54" si="44">IF(220/($C11-BF$5)^0.5/100&gt;0.67,0.67,220/($C11-BF$5)^0.5/100)</f>
        <v>0.67</v>
      </c>
      <c r="BX11" s="430"/>
      <c r="BY11" s="461">
        <f t="shared" ref="BY11:BY54" si="45">INT(($C11-BA$5)/(BA11-1)*12*16+0.95)/16</f>
        <v>9.875</v>
      </c>
      <c r="BZ11" s="461">
        <f t="shared" ref="BZ11:BZ54" si="46">INT(($C11-BB$5)/(BB11-1)*12*16+0.95)/16</f>
        <v>10</v>
      </c>
      <c r="CA11" s="461">
        <f t="shared" ref="CA11:CA54" si="47">INT(($C11-BC$5)/(BC11-1)*12*16+0.95)/16</f>
        <v>9.25</v>
      </c>
      <c r="CB11" s="461">
        <f t="shared" ref="CB11:CB54" si="48">INT(($C11-BD$5)/(BD11-1)*12*16+0.95)/16</f>
        <v>8.25</v>
      </c>
      <c r="CC11" s="461">
        <f t="shared" ref="CC11:CC54" si="49">INT(($C11-BE$5)/(BE11-1)*12*16+0.95)/16</f>
        <v>8</v>
      </c>
      <c r="CD11" s="461">
        <f t="shared" ref="CD11:CD54" si="50">INT(($C11-BF$5)/(BF11-1)*12*16+0.95)/16</f>
        <v>9</v>
      </c>
      <c r="CE11" s="430"/>
      <c r="CF11" s="430"/>
      <c r="CH11" t="s">
        <v>210</v>
      </c>
    </row>
    <row r="12" spans="3:86" x14ac:dyDescent="0.2">
      <c r="C12" s="267">
        <v>4.5</v>
      </c>
      <c r="D12" s="359">
        <v>4.63</v>
      </c>
      <c r="E12" s="334">
        <v>3</v>
      </c>
      <c r="F12" s="232">
        <v>2.58</v>
      </c>
      <c r="G12" s="233">
        <f t="shared" si="29"/>
        <v>2.2810000000000001</v>
      </c>
      <c r="H12" s="232">
        <v>2.19</v>
      </c>
      <c r="I12" s="233">
        <f t="shared" si="30"/>
        <v>2.1223333333333332</v>
      </c>
      <c r="J12" s="232">
        <v>1.9</v>
      </c>
      <c r="K12" s="233">
        <f t="shared" si="31"/>
        <v>1.8166666666666667</v>
      </c>
      <c r="L12" s="232">
        <v>1.65</v>
      </c>
      <c r="M12" s="233">
        <f t="shared" si="0"/>
        <v>1.4849999999999999</v>
      </c>
      <c r="N12" s="232">
        <v>1.32</v>
      </c>
      <c r="O12" s="335">
        <v>1.18</v>
      </c>
      <c r="P12" s="375">
        <v>7.5</v>
      </c>
      <c r="Q12" s="371" t="s">
        <v>41</v>
      </c>
      <c r="R12" s="436" t="s">
        <v>41</v>
      </c>
      <c r="S12" s="346">
        <f t="shared" si="32"/>
        <v>0.18984375000000001</v>
      </c>
      <c r="T12" s="347">
        <f t="shared" si="1"/>
        <v>0.18984375000000001</v>
      </c>
      <c r="U12" s="347">
        <f t="shared" si="33"/>
        <v>4.0500000000000001E-2</v>
      </c>
      <c r="V12" s="348">
        <f t="shared" si="2"/>
        <v>4.0500000000000001E-2</v>
      </c>
      <c r="W12" s="312">
        <f t="shared" si="3"/>
        <v>8.4005546874999997</v>
      </c>
      <c r="X12" s="320">
        <f t="shared" si="4"/>
        <v>4.8603437500000002</v>
      </c>
      <c r="Y12" s="246">
        <v>10.75</v>
      </c>
      <c r="Z12" s="247">
        <v>10</v>
      </c>
      <c r="AA12" s="307">
        <f t="shared" si="5"/>
        <v>3.1855546874999998</v>
      </c>
      <c r="AB12" s="231">
        <f t="shared" si="6"/>
        <v>1.88034375</v>
      </c>
      <c r="AC12" s="234">
        <v>19.75</v>
      </c>
      <c r="AD12" s="247">
        <v>11.5</v>
      </c>
      <c r="AE12" s="307">
        <f t="shared" si="34"/>
        <v>4.2898046875000002</v>
      </c>
      <c r="AF12" s="231">
        <f t="shared" si="35"/>
        <v>2.51134375</v>
      </c>
      <c r="AG12" s="234">
        <v>17.5</v>
      </c>
      <c r="AH12" s="247">
        <v>9.5</v>
      </c>
      <c r="AI12" s="307">
        <f t="shared" si="36"/>
        <v>4.0121380208333326</v>
      </c>
      <c r="AJ12" s="231">
        <f t="shared" si="37"/>
        <v>2.352677083333333</v>
      </c>
      <c r="AK12" s="234">
        <v>18.75</v>
      </c>
      <c r="AL12" s="247">
        <v>10</v>
      </c>
      <c r="AM12" s="312">
        <f t="shared" si="7"/>
        <v>3.4772213541666668</v>
      </c>
      <c r="AN12" s="231">
        <f t="shared" si="8"/>
        <v>2.0470104166666667</v>
      </c>
      <c r="AO12" s="234">
        <v>19.75</v>
      </c>
      <c r="AP12" s="247">
        <v>11</v>
      </c>
      <c r="AQ12" s="312">
        <f t="shared" si="9"/>
        <v>2.8968046875</v>
      </c>
      <c r="AR12" s="231">
        <f t="shared" si="10"/>
        <v>1.7153437499999999</v>
      </c>
      <c r="AS12" s="234">
        <v>19.75</v>
      </c>
      <c r="AT12" s="247">
        <v>12</v>
      </c>
      <c r="AU12" s="312">
        <f t="shared" si="11"/>
        <v>4.8130546875000002</v>
      </c>
      <c r="AV12" s="231">
        <f t="shared" si="12"/>
        <v>2.8103437499999999</v>
      </c>
      <c r="AW12" s="234">
        <v>15.5</v>
      </c>
      <c r="AX12" s="247">
        <v>9</v>
      </c>
      <c r="AY12" s="345" t="s">
        <v>40</v>
      </c>
      <c r="AZ12" s="381">
        <f>INT(BI12/(BG12*BH12)*12*16+0.95)/16</f>
        <v>10.4375</v>
      </c>
      <c r="BA12" s="239">
        <f t="shared" si="14"/>
        <v>5</v>
      </c>
      <c r="BB12" s="239">
        <f t="shared" si="15"/>
        <v>6</v>
      </c>
      <c r="BC12" s="239">
        <f t="shared" si="16"/>
        <v>5</v>
      </c>
      <c r="BD12" s="239">
        <f t="shared" si="17"/>
        <v>5</v>
      </c>
      <c r="BE12" s="239">
        <f t="shared" si="18"/>
        <v>4</v>
      </c>
      <c r="BF12" s="239">
        <f t="shared" si="19"/>
        <v>6</v>
      </c>
      <c r="BG12" s="232">
        <v>0.34347929284681344</v>
      </c>
      <c r="BH12" s="232">
        <f t="shared" si="20"/>
        <v>0.67</v>
      </c>
      <c r="BI12" s="411">
        <f>VLOOKUP($AY12,'Bar Sizes'!$D$26:$F$36,3,FALSE)</f>
        <v>0.2</v>
      </c>
      <c r="BJ12" s="381">
        <f t="shared" si="38"/>
        <v>4</v>
      </c>
      <c r="BK12" s="401">
        <f t="shared" si="21"/>
        <v>4.6428571428571423</v>
      </c>
      <c r="BL12" s="401">
        <f t="shared" si="22"/>
        <v>6.1428571428571441</v>
      </c>
      <c r="BM12" s="401">
        <f t="shared" si="23"/>
        <v>5.7142857714285711</v>
      </c>
      <c r="BN12" s="401">
        <f t="shared" si="24"/>
        <v>5.1428571428571423</v>
      </c>
      <c r="BO12" s="401">
        <f t="shared" si="25"/>
        <v>3.8571428571428577</v>
      </c>
      <c r="BP12" s="401">
        <f t="shared" si="26"/>
        <v>6.8571428571428568</v>
      </c>
      <c r="BR12" s="464">
        <f t="shared" si="39"/>
        <v>0.67</v>
      </c>
      <c r="BS12" s="464">
        <f t="shared" si="40"/>
        <v>0.67</v>
      </c>
      <c r="BT12" s="464">
        <f t="shared" si="41"/>
        <v>0.67</v>
      </c>
      <c r="BU12" s="464">
        <f t="shared" si="42"/>
        <v>0.67</v>
      </c>
      <c r="BV12" s="464">
        <f t="shared" si="43"/>
        <v>0.67</v>
      </c>
      <c r="BW12" s="464">
        <f t="shared" si="44"/>
        <v>0.67</v>
      </c>
      <c r="BX12" s="430"/>
      <c r="BY12" s="461">
        <f t="shared" si="45"/>
        <v>8.125</v>
      </c>
      <c r="BZ12" s="461">
        <f t="shared" si="46"/>
        <v>8.625</v>
      </c>
      <c r="CA12" s="461">
        <f t="shared" si="47"/>
        <v>10</v>
      </c>
      <c r="CB12" s="461">
        <f t="shared" si="48"/>
        <v>9</v>
      </c>
      <c r="CC12" s="461">
        <f t="shared" si="49"/>
        <v>9</v>
      </c>
      <c r="CD12" s="461">
        <f t="shared" si="50"/>
        <v>9.625</v>
      </c>
      <c r="CE12" s="430"/>
      <c r="CF12" s="430"/>
    </row>
    <row r="13" spans="3:86" x14ac:dyDescent="0.2">
      <c r="C13" s="267">
        <v>4.75</v>
      </c>
      <c r="D13" s="359">
        <v>4.6399999999999997</v>
      </c>
      <c r="E13" s="334">
        <v>3.38</v>
      </c>
      <c r="F13" s="232">
        <v>2.9</v>
      </c>
      <c r="G13" s="233">
        <f t="shared" si="29"/>
        <v>2.5396666666666667</v>
      </c>
      <c r="H13" s="232">
        <v>2.4300000000000002</v>
      </c>
      <c r="I13" s="233">
        <f t="shared" si="30"/>
        <v>2.3460000000000001</v>
      </c>
      <c r="J13" s="232">
        <v>2.0699999999999998</v>
      </c>
      <c r="K13" s="233">
        <f t="shared" si="31"/>
        <v>1.96</v>
      </c>
      <c r="L13" s="232">
        <v>1.74</v>
      </c>
      <c r="M13" s="233">
        <f t="shared" si="0"/>
        <v>1.5150000000000001</v>
      </c>
      <c r="N13" s="232">
        <v>1.29</v>
      </c>
      <c r="O13" s="335">
        <v>1.2</v>
      </c>
      <c r="P13" s="375">
        <v>7.5</v>
      </c>
      <c r="Q13" s="371" t="s">
        <v>41</v>
      </c>
      <c r="R13" s="436" t="s">
        <v>41</v>
      </c>
      <c r="S13" s="346">
        <f t="shared" si="32"/>
        <v>0.21152343749999999</v>
      </c>
      <c r="T13" s="347">
        <f t="shared" si="1"/>
        <v>0.21152343749999999</v>
      </c>
      <c r="U13" s="347">
        <f t="shared" si="33"/>
        <v>4.5124999999999998E-2</v>
      </c>
      <c r="V13" s="348">
        <f t="shared" si="2"/>
        <v>4.5124999999999998E-2</v>
      </c>
      <c r="W13" s="312">
        <f t="shared" si="3"/>
        <v>8.4520917968749991</v>
      </c>
      <c r="X13" s="320">
        <f t="shared" si="4"/>
        <v>4.8966484374999997</v>
      </c>
      <c r="Y13" s="246">
        <v>10.75</v>
      </c>
      <c r="Z13" s="247">
        <v>10</v>
      </c>
      <c r="AA13" s="307">
        <f t="shared" si="5"/>
        <v>3.3770917968749998</v>
      </c>
      <c r="AB13" s="231">
        <f t="shared" si="6"/>
        <v>1.9966484375</v>
      </c>
      <c r="AC13" s="234">
        <v>19.75</v>
      </c>
      <c r="AD13" s="247">
        <v>11</v>
      </c>
      <c r="AE13" s="307">
        <f t="shared" si="34"/>
        <v>4.776508463541667</v>
      </c>
      <c r="AF13" s="231">
        <f t="shared" si="35"/>
        <v>2.7963151041666667</v>
      </c>
      <c r="AG13" s="234">
        <v>15.75</v>
      </c>
      <c r="AH13" s="247">
        <v>9</v>
      </c>
      <c r="AI13" s="307">
        <f t="shared" si="36"/>
        <v>4.437591796875</v>
      </c>
      <c r="AJ13" s="231">
        <f t="shared" si="37"/>
        <v>2.6026484375000001</v>
      </c>
      <c r="AK13" s="234">
        <v>17</v>
      </c>
      <c r="AL13" s="247">
        <v>9.25</v>
      </c>
      <c r="AM13" s="312">
        <f t="shared" si="7"/>
        <v>3.7620917968749996</v>
      </c>
      <c r="AN13" s="231">
        <f t="shared" si="8"/>
        <v>2.2166484375</v>
      </c>
      <c r="AO13" s="234">
        <v>19.75</v>
      </c>
      <c r="AP13" s="247">
        <v>10.25</v>
      </c>
      <c r="AQ13" s="312">
        <f t="shared" si="9"/>
        <v>2.983341796875</v>
      </c>
      <c r="AR13" s="231">
        <f t="shared" si="10"/>
        <v>1.7716484375000001</v>
      </c>
      <c r="AS13" s="234">
        <v>19.75</v>
      </c>
      <c r="AT13" s="247">
        <v>12</v>
      </c>
      <c r="AU13" s="312">
        <f t="shared" si="11"/>
        <v>5.4070917968750001</v>
      </c>
      <c r="AV13" s="231">
        <f t="shared" si="12"/>
        <v>3.1566484374999999</v>
      </c>
      <c r="AW13" s="234">
        <v>13.75</v>
      </c>
      <c r="AX13" s="247">
        <v>8.25</v>
      </c>
      <c r="AY13" s="345" t="s">
        <v>40</v>
      </c>
      <c r="AZ13" s="381">
        <f t="shared" si="13"/>
        <v>10.375</v>
      </c>
      <c r="BA13" s="239">
        <f t="shared" si="14"/>
        <v>5</v>
      </c>
      <c r="BB13" s="239">
        <f t="shared" si="15"/>
        <v>6</v>
      </c>
      <c r="BC13" s="239">
        <f t="shared" si="16"/>
        <v>6</v>
      </c>
      <c r="BD13" s="239">
        <f t="shared" si="17"/>
        <v>5</v>
      </c>
      <c r="BE13" s="239">
        <f t="shared" si="18"/>
        <v>4</v>
      </c>
      <c r="BF13" s="239">
        <f t="shared" si="19"/>
        <v>6</v>
      </c>
      <c r="BG13" s="232">
        <v>0.34568991359241213</v>
      </c>
      <c r="BH13" s="232">
        <f t="shared" si="20"/>
        <v>0.67</v>
      </c>
      <c r="BI13" s="411">
        <f>VLOOKUP($AY13,'Bar Sizes'!$D$26:$F$36,3,FALSE)</f>
        <v>0.2</v>
      </c>
      <c r="BJ13" s="381">
        <f t="shared" si="38"/>
        <v>4</v>
      </c>
      <c r="BK13" s="401">
        <f t="shared" si="21"/>
        <v>5.0714285714285712</v>
      </c>
      <c r="BL13" s="401">
        <f t="shared" si="22"/>
        <v>6.5714285714285721</v>
      </c>
      <c r="BM13" s="401">
        <f t="shared" si="23"/>
        <v>6.1428571999999999</v>
      </c>
      <c r="BN13" s="401">
        <f t="shared" si="24"/>
        <v>5.5714285714285712</v>
      </c>
      <c r="BO13" s="401">
        <f t="shared" si="25"/>
        <v>4.2857142857142856</v>
      </c>
      <c r="BP13" s="401">
        <f t="shared" si="26"/>
        <v>7.2857142857142847</v>
      </c>
      <c r="BR13" s="464">
        <f t="shared" si="39"/>
        <v>0.67</v>
      </c>
      <c r="BS13" s="464">
        <f t="shared" si="40"/>
        <v>0.67</v>
      </c>
      <c r="BT13" s="464">
        <f t="shared" si="41"/>
        <v>0.67</v>
      </c>
      <c r="BU13" s="464">
        <f t="shared" si="42"/>
        <v>0.67</v>
      </c>
      <c r="BV13" s="464">
        <f t="shared" si="43"/>
        <v>0.67</v>
      </c>
      <c r="BW13" s="464">
        <f t="shared" si="44"/>
        <v>0.67</v>
      </c>
      <c r="BX13" s="430"/>
      <c r="BY13" s="461">
        <f t="shared" si="45"/>
        <v>8.875</v>
      </c>
      <c r="BZ13" s="461">
        <f t="shared" si="46"/>
        <v>9.25</v>
      </c>
      <c r="CA13" s="461">
        <f t="shared" si="47"/>
        <v>8.625</v>
      </c>
      <c r="CB13" s="461">
        <f t="shared" si="48"/>
        <v>9.75</v>
      </c>
      <c r="CC13" s="461">
        <f t="shared" si="49"/>
        <v>10</v>
      </c>
      <c r="CD13" s="461">
        <f t="shared" si="50"/>
        <v>10.25</v>
      </c>
      <c r="CE13" s="430"/>
      <c r="CF13" s="430"/>
      <c r="CH13" t="s">
        <v>211</v>
      </c>
    </row>
    <row r="14" spans="3:86" x14ac:dyDescent="0.2">
      <c r="C14" s="267">
        <v>5</v>
      </c>
      <c r="D14" s="359">
        <v>4.6500000000000004</v>
      </c>
      <c r="E14" s="334">
        <v>3.74</v>
      </c>
      <c r="F14" s="232">
        <v>3.2</v>
      </c>
      <c r="G14" s="233">
        <f t="shared" si="29"/>
        <v>2.786</v>
      </c>
      <c r="H14" s="232">
        <v>2.66</v>
      </c>
      <c r="I14" s="233">
        <f t="shared" si="30"/>
        <v>2.5620000000000003</v>
      </c>
      <c r="J14" s="232">
        <v>2.2400000000000002</v>
      </c>
      <c r="K14" s="233">
        <f t="shared" si="31"/>
        <v>2.1033333333333335</v>
      </c>
      <c r="L14" s="232">
        <v>1.83</v>
      </c>
      <c r="M14" s="233">
        <f t="shared" si="0"/>
        <v>1.5449999999999999</v>
      </c>
      <c r="N14" s="232">
        <v>1.26</v>
      </c>
      <c r="O14" s="335">
        <v>1.1200000000000001</v>
      </c>
      <c r="P14" s="375">
        <v>7.5</v>
      </c>
      <c r="Q14" s="371" t="s">
        <v>41</v>
      </c>
      <c r="R14" s="436" t="s">
        <v>41</v>
      </c>
      <c r="S14" s="346">
        <f t="shared" si="32"/>
        <v>0.234375</v>
      </c>
      <c r="T14" s="347">
        <f t="shared" si="1"/>
        <v>0.234375</v>
      </c>
      <c r="U14" s="347">
        <f t="shared" si="33"/>
        <v>0.05</v>
      </c>
      <c r="V14" s="348">
        <f t="shared" si="2"/>
        <v>0.05</v>
      </c>
      <c r="W14" s="312">
        <f t="shared" si="3"/>
        <v>8.5054687500000004</v>
      </c>
      <c r="X14" s="320">
        <f t="shared" si="4"/>
        <v>4.9343750000000002</v>
      </c>
      <c r="Y14" s="246">
        <v>10.5</v>
      </c>
      <c r="Z14" s="247">
        <v>10</v>
      </c>
      <c r="AA14" s="307">
        <f t="shared" si="5"/>
        <v>3.5704687500000003</v>
      </c>
      <c r="AB14" s="231">
        <f t="shared" si="6"/>
        <v>2.1143749999999999</v>
      </c>
      <c r="AC14" s="234">
        <v>19.75</v>
      </c>
      <c r="AD14" s="247">
        <v>10.75</v>
      </c>
      <c r="AE14" s="307">
        <f t="shared" si="34"/>
        <v>5.2434687499999999</v>
      </c>
      <c r="AF14" s="231">
        <f t="shared" si="35"/>
        <v>3.0703749999999999</v>
      </c>
      <c r="AG14" s="234">
        <v>14.25</v>
      </c>
      <c r="AH14" s="247">
        <v>8.5</v>
      </c>
      <c r="AI14" s="307">
        <f t="shared" si="36"/>
        <v>4.8514687500000004</v>
      </c>
      <c r="AJ14" s="231">
        <f t="shared" si="37"/>
        <v>2.8463750000000001</v>
      </c>
      <c r="AK14" s="234">
        <v>15.5</v>
      </c>
      <c r="AL14" s="247">
        <v>8.75</v>
      </c>
      <c r="AM14" s="312">
        <f t="shared" si="7"/>
        <v>4.0488020833333334</v>
      </c>
      <c r="AN14" s="231">
        <f t="shared" si="8"/>
        <v>2.3877083333333333</v>
      </c>
      <c r="AO14" s="234">
        <v>18.75</v>
      </c>
      <c r="AP14" s="247">
        <v>10</v>
      </c>
      <c r="AQ14" s="312">
        <f t="shared" si="9"/>
        <v>3.0717187500000001</v>
      </c>
      <c r="AR14" s="231">
        <f t="shared" si="10"/>
        <v>1.829375</v>
      </c>
      <c r="AS14" s="234">
        <v>19.75</v>
      </c>
      <c r="AT14" s="247">
        <v>11.75</v>
      </c>
      <c r="AU14" s="312">
        <f t="shared" si="11"/>
        <v>5.9679687500000007</v>
      </c>
      <c r="AV14" s="231">
        <f t="shared" si="12"/>
        <v>3.484375</v>
      </c>
      <c r="AW14" s="234">
        <v>12.5</v>
      </c>
      <c r="AX14" s="247">
        <v>7.75</v>
      </c>
      <c r="AY14" s="345" t="s">
        <v>40</v>
      </c>
      <c r="AZ14" s="381">
        <f t="shared" si="13"/>
        <v>10.3125</v>
      </c>
      <c r="BA14" s="239">
        <f t="shared" si="14"/>
        <v>5</v>
      </c>
      <c r="BB14" s="239">
        <f t="shared" si="15"/>
        <v>6</v>
      </c>
      <c r="BC14" s="239">
        <f t="shared" si="16"/>
        <v>6</v>
      </c>
      <c r="BD14" s="239">
        <f t="shared" si="17"/>
        <v>6</v>
      </c>
      <c r="BE14" s="239">
        <f t="shared" si="18"/>
        <v>5</v>
      </c>
      <c r="BF14" s="239">
        <f t="shared" si="19"/>
        <v>7</v>
      </c>
      <c r="BG14" s="232">
        <v>0.34798091590152985</v>
      </c>
      <c r="BH14" s="232">
        <f t="shared" si="20"/>
        <v>0.67</v>
      </c>
      <c r="BI14" s="411">
        <f>VLOOKUP($AY14,'Bar Sizes'!$D$26:$F$36,3,FALSE)</f>
        <v>0.2</v>
      </c>
      <c r="BJ14" s="381">
        <f t="shared" si="38"/>
        <v>4</v>
      </c>
      <c r="BK14" s="401">
        <f t="shared" si="21"/>
        <v>5.5</v>
      </c>
      <c r="BL14" s="401">
        <f t="shared" si="22"/>
        <v>6.9999999999999991</v>
      </c>
      <c r="BM14" s="401">
        <f t="shared" si="23"/>
        <v>6.5714286285714278</v>
      </c>
      <c r="BN14" s="401">
        <f t="shared" si="24"/>
        <v>6</v>
      </c>
      <c r="BO14" s="401">
        <f t="shared" si="25"/>
        <v>4.7142857142857144</v>
      </c>
      <c r="BP14" s="401">
        <f t="shared" si="26"/>
        <v>7.7142857142857153</v>
      </c>
      <c r="BR14" s="464">
        <f t="shared" si="39"/>
        <v>0.67</v>
      </c>
      <c r="BS14" s="464">
        <f t="shared" si="40"/>
        <v>0.67</v>
      </c>
      <c r="BT14" s="464">
        <f t="shared" si="41"/>
        <v>0.67</v>
      </c>
      <c r="BU14" s="464">
        <f t="shared" si="42"/>
        <v>0.67</v>
      </c>
      <c r="BV14" s="464">
        <f t="shared" si="43"/>
        <v>0.67</v>
      </c>
      <c r="BW14" s="464">
        <f t="shared" si="44"/>
        <v>0.67</v>
      </c>
      <c r="BX14" s="430"/>
      <c r="BY14" s="461">
        <f t="shared" si="45"/>
        <v>9.625</v>
      </c>
      <c r="BZ14" s="461">
        <f t="shared" si="46"/>
        <v>9.8125</v>
      </c>
      <c r="CA14" s="461">
        <f t="shared" si="47"/>
        <v>9.25</v>
      </c>
      <c r="CB14" s="461">
        <f t="shared" si="48"/>
        <v>8.4375</v>
      </c>
      <c r="CC14" s="461">
        <f t="shared" si="49"/>
        <v>8.25</v>
      </c>
      <c r="CD14" s="461">
        <f t="shared" si="50"/>
        <v>9</v>
      </c>
      <c r="CE14" s="430"/>
      <c r="CF14" s="430"/>
      <c r="CH14" t="s">
        <v>212</v>
      </c>
    </row>
    <row r="15" spans="3:86" x14ac:dyDescent="0.2">
      <c r="C15" s="267">
        <v>5.25</v>
      </c>
      <c r="D15" s="359">
        <v>4.67</v>
      </c>
      <c r="E15" s="334">
        <v>4.0599999999999996</v>
      </c>
      <c r="F15" s="232">
        <v>3.47</v>
      </c>
      <c r="G15" s="233">
        <f t="shared" si="29"/>
        <v>3.0253333333333337</v>
      </c>
      <c r="H15" s="232">
        <v>2.89</v>
      </c>
      <c r="I15" s="233">
        <f t="shared" si="30"/>
        <v>2.778</v>
      </c>
      <c r="J15" s="232">
        <v>2.41</v>
      </c>
      <c r="K15" s="233">
        <f t="shared" si="31"/>
        <v>2.2566666666666668</v>
      </c>
      <c r="L15" s="232">
        <v>1.95</v>
      </c>
      <c r="M15" s="233">
        <f t="shared" si="0"/>
        <v>1.615</v>
      </c>
      <c r="N15" s="232">
        <v>1.28</v>
      </c>
      <c r="O15" s="335">
        <v>0.98</v>
      </c>
      <c r="P15" s="375">
        <v>7.5</v>
      </c>
      <c r="Q15" s="371" t="s">
        <v>41</v>
      </c>
      <c r="R15" s="436" t="s">
        <v>41</v>
      </c>
      <c r="S15" s="346">
        <f t="shared" si="32"/>
        <v>0.25839843749999997</v>
      </c>
      <c r="T15" s="347">
        <f t="shared" si="1"/>
        <v>0.25839843749999997</v>
      </c>
      <c r="U15" s="347">
        <f t="shared" si="33"/>
        <v>5.5125E-2</v>
      </c>
      <c r="V15" s="348">
        <f t="shared" si="2"/>
        <v>5.5125E-2</v>
      </c>
      <c r="W15" s="312">
        <f t="shared" si="3"/>
        <v>8.5781855468749999</v>
      </c>
      <c r="X15" s="320">
        <f t="shared" si="4"/>
        <v>4.9835234374999997</v>
      </c>
      <c r="Y15" s="246">
        <v>10.5</v>
      </c>
      <c r="Z15" s="247">
        <v>10</v>
      </c>
      <c r="AA15" s="307">
        <f t="shared" si="5"/>
        <v>3.8181855468750001</v>
      </c>
      <c r="AB15" s="231">
        <f t="shared" si="6"/>
        <v>2.2635234375</v>
      </c>
      <c r="AC15" s="234">
        <v>19.75</v>
      </c>
      <c r="AD15" s="247">
        <v>10.25</v>
      </c>
      <c r="AE15" s="307">
        <f t="shared" si="34"/>
        <v>5.7000188802083338</v>
      </c>
      <c r="AF15" s="231">
        <f t="shared" si="35"/>
        <v>3.3388567708333334</v>
      </c>
      <c r="AG15" s="234">
        <v>13</v>
      </c>
      <c r="AH15" s="247">
        <v>8</v>
      </c>
      <c r="AI15" s="307">
        <f t="shared" si="36"/>
        <v>5.267185546875</v>
      </c>
      <c r="AJ15" s="231">
        <f t="shared" si="37"/>
        <v>3.0915234374999998</v>
      </c>
      <c r="AK15" s="234">
        <v>14.25</v>
      </c>
      <c r="AL15" s="247">
        <v>8.5</v>
      </c>
      <c r="AM15" s="312">
        <f t="shared" si="7"/>
        <v>4.3548522135416663</v>
      </c>
      <c r="AN15" s="231">
        <f t="shared" si="8"/>
        <v>2.5701901041666666</v>
      </c>
      <c r="AO15" s="234">
        <v>17.25</v>
      </c>
      <c r="AP15" s="247">
        <v>9.5</v>
      </c>
      <c r="AQ15" s="312">
        <f t="shared" si="9"/>
        <v>3.231935546875</v>
      </c>
      <c r="AR15" s="231">
        <f t="shared" si="10"/>
        <v>1.9285234375</v>
      </c>
      <c r="AS15" s="234">
        <v>19.75</v>
      </c>
      <c r="AT15" s="247">
        <v>11.25</v>
      </c>
      <c r="AU15" s="312">
        <f t="shared" si="11"/>
        <v>6.4781855468750003</v>
      </c>
      <c r="AV15" s="231">
        <f t="shared" si="12"/>
        <v>3.7835234375</v>
      </c>
      <c r="AW15" s="234">
        <v>11.25</v>
      </c>
      <c r="AX15" s="247">
        <v>7.25</v>
      </c>
      <c r="AY15" s="345" t="s">
        <v>40</v>
      </c>
      <c r="AZ15" s="381">
        <f t="shared" si="13"/>
        <v>10.25</v>
      </c>
      <c r="BA15" s="239">
        <f t="shared" si="14"/>
        <v>6</v>
      </c>
      <c r="BB15" s="239">
        <f t="shared" si="15"/>
        <v>7</v>
      </c>
      <c r="BC15" s="239">
        <f t="shared" si="16"/>
        <v>6</v>
      </c>
      <c r="BD15" s="239">
        <f t="shared" si="17"/>
        <v>6</v>
      </c>
      <c r="BE15" s="239">
        <f t="shared" si="18"/>
        <v>5</v>
      </c>
      <c r="BF15" s="239">
        <f t="shared" si="19"/>
        <v>7</v>
      </c>
      <c r="BG15" s="232">
        <v>0.35110440914437402</v>
      </c>
      <c r="BH15" s="232">
        <f t="shared" si="20"/>
        <v>0.67</v>
      </c>
      <c r="BI15" s="411">
        <f>VLOOKUP($AY15,'Bar Sizes'!$D$26:$F$36,3,FALSE)</f>
        <v>0.2</v>
      </c>
      <c r="BJ15" s="381">
        <f t="shared" si="38"/>
        <v>4</v>
      </c>
      <c r="BK15" s="401">
        <f t="shared" si="21"/>
        <v>5.9285714285714279</v>
      </c>
      <c r="BL15" s="401">
        <f t="shared" si="22"/>
        <v>7.428571428571427</v>
      </c>
      <c r="BM15" s="401">
        <f t="shared" si="23"/>
        <v>7.0000000571428558</v>
      </c>
      <c r="BN15" s="401">
        <f t="shared" si="24"/>
        <v>6.4285714285714288</v>
      </c>
      <c r="BO15" s="401">
        <f t="shared" si="25"/>
        <v>5.1428571428571423</v>
      </c>
      <c r="BP15" s="401">
        <f t="shared" si="26"/>
        <v>8.1428571428571423</v>
      </c>
      <c r="BR15" s="464">
        <f t="shared" si="39"/>
        <v>0.67</v>
      </c>
      <c r="BS15" s="464">
        <f t="shared" si="40"/>
        <v>0.67</v>
      </c>
      <c r="BT15" s="464">
        <f t="shared" si="41"/>
        <v>0.67</v>
      </c>
      <c r="BU15" s="464">
        <f t="shared" si="42"/>
        <v>0.67</v>
      </c>
      <c r="BV15" s="464">
        <f t="shared" si="43"/>
        <v>0.67</v>
      </c>
      <c r="BW15" s="464">
        <f t="shared" si="44"/>
        <v>0.67</v>
      </c>
      <c r="BX15" s="430"/>
      <c r="BY15" s="461">
        <f t="shared" si="45"/>
        <v>8.3125</v>
      </c>
      <c r="BZ15" s="461">
        <f t="shared" si="46"/>
        <v>8.6875</v>
      </c>
      <c r="CA15" s="461">
        <f t="shared" si="47"/>
        <v>9.8125</v>
      </c>
      <c r="CB15" s="461">
        <f t="shared" si="48"/>
        <v>9</v>
      </c>
      <c r="CC15" s="461">
        <f t="shared" si="49"/>
        <v>9</v>
      </c>
      <c r="CD15" s="461">
        <f t="shared" si="50"/>
        <v>9.5</v>
      </c>
      <c r="CE15" s="430"/>
      <c r="CF15" s="430"/>
      <c r="CH15" t="s">
        <v>213</v>
      </c>
    </row>
    <row r="16" spans="3:86" x14ac:dyDescent="0.2">
      <c r="C16" s="267">
        <v>5.5</v>
      </c>
      <c r="D16" s="359">
        <v>4.71</v>
      </c>
      <c r="E16" s="334">
        <v>4.3600000000000003</v>
      </c>
      <c r="F16" s="232">
        <v>3.73</v>
      </c>
      <c r="G16" s="233">
        <f t="shared" si="29"/>
        <v>3.2546666666666666</v>
      </c>
      <c r="H16" s="232">
        <v>3.11</v>
      </c>
      <c r="I16" s="233">
        <f t="shared" si="30"/>
        <v>2.9863333333333331</v>
      </c>
      <c r="J16" s="232">
        <v>2.58</v>
      </c>
      <c r="K16" s="233">
        <f t="shared" si="31"/>
        <v>2.41</v>
      </c>
      <c r="L16" s="232">
        <v>2.0699999999999998</v>
      </c>
      <c r="M16" s="233">
        <f t="shared" si="0"/>
        <v>1.6850000000000001</v>
      </c>
      <c r="N16" s="232">
        <v>1.3</v>
      </c>
      <c r="O16" s="335">
        <v>0.99</v>
      </c>
      <c r="P16" s="375">
        <v>7.5</v>
      </c>
      <c r="Q16" s="371" t="s">
        <v>41</v>
      </c>
      <c r="R16" s="436" t="s">
        <v>41</v>
      </c>
      <c r="S16" s="346">
        <f t="shared" si="32"/>
        <v>0.28359374999999998</v>
      </c>
      <c r="T16" s="347">
        <f t="shared" si="1"/>
        <v>0.28359374999999998</v>
      </c>
      <c r="U16" s="347">
        <f t="shared" si="33"/>
        <v>6.0499999999999998E-2</v>
      </c>
      <c r="V16" s="348">
        <f t="shared" si="2"/>
        <v>6.0499999999999998E-2</v>
      </c>
      <c r="W16" s="312">
        <f t="shared" si="3"/>
        <v>8.6877421874999996</v>
      </c>
      <c r="X16" s="320">
        <f t="shared" si="4"/>
        <v>5.0540937499999998</v>
      </c>
      <c r="Y16" s="246">
        <v>10.25</v>
      </c>
      <c r="Z16" s="247">
        <v>10</v>
      </c>
      <c r="AA16" s="307">
        <f t="shared" si="5"/>
        <v>4.0677421874999995</v>
      </c>
      <c r="AB16" s="231">
        <f t="shared" si="6"/>
        <v>2.4140937499999997</v>
      </c>
      <c r="AC16" s="234">
        <v>18.5</v>
      </c>
      <c r="AD16" s="247">
        <v>9.75</v>
      </c>
      <c r="AE16" s="307">
        <f t="shared" si="34"/>
        <v>6.1409088541666668</v>
      </c>
      <c r="AF16" s="231">
        <f t="shared" si="35"/>
        <v>3.5987604166666665</v>
      </c>
      <c r="AG16" s="234">
        <v>12</v>
      </c>
      <c r="AH16" s="247">
        <v>7.5</v>
      </c>
      <c r="AI16" s="307">
        <f t="shared" si="36"/>
        <v>5.6713255208333324</v>
      </c>
      <c r="AJ16" s="231">
        <f t="shared" si="37"/>
        <v>3.3304270833333329</v>
      </c>
      <c r="AK16" s="234">
        <v>13</v>
      </c>
      <c r="AL16" s="247">
        <v>8</v>
      </c>
      <c r="AM16" s="312">
        <f t="shared" si="7"/>
        <v>4.6627421875000001</v>
      </c>
      <c r="AN16" s="231">
        <f t="shared" si="8"/>
        <v>2.75409375</v>
      </c>
      <c r="AO16" s="234">
        <v>16</v>
      </c>
      <c r="AP16" s="247">
        <v>9</v>
      </c>
      <c r="AQ16" s="312">
        <f t="shared" si="9"/>
        <v>3.3939921874999999</v>
      </c>
      <c r="AR16" s="231">
        <f t="shared" si="10"/>
        <v>2.0290937499999999</v>
      </c>
      <c r="AS16" s="234">
        <v>19.75</v>
      </c>
      <c r="AT16" s="247">
        <v>11</v>
      </c>
      <c r="AU16" s="312">
        <f t="shared" si="11"/>
        <v>6.9727421874999997</v>
      </c>
      <c r="AV16" s="231">
        <f t="shared" si="12"/>
        <v>4.0740937500000003</v>
      </c>
      <c r="AW16" s="234">
        <v>10.5</v>
      </c>
      <c r="AX16" s="247">
        <v>7</v>
      </c>
      <c r="AY16" s="345" t="s">
        <v>40</v>
      </c>
      <c r="AZ16" s="381">
        <f t="shared" si="13"/>
        <v>10.125</v>
      </c>
      <c r="BA16" s="239">
        <f t="shared" si="14"/>
        <v>6</v>
      </c>
      <c r="BB16" s="239">
        <f t="shared" si="15"/>
        <v>7</v>
      </c>
      <c r="BC16" s="239">
        <f t="shared" si="16"/>
        <v>7</v>
      </c>
      <c r="BD16" s="239">
        <f t="shared" si="17"/>
        <v>6</v>
      </c>
      <c r="BE16" s="239">
        <f t="shared" si="18"/>
        <v>5</v>
      </c>
      <c r="BF16" s="239">
        <f t="shared" si="19"/>
        <v>7</v>
      </c>
      <c r="BG16" s="232">
        <v>0.35581557511213746</v>
      </c>
      <c r="BH16" s="232">
        <f t="shared" si="20"/>
        <v>0.67</v>
      </c>
      <c r="BI16" s="411">
        <f>VLOOKUP($AY16,'Bar Sizes'!$D$26:$F$36,3,FALSE)</f>
        <v>0.2</v>
      </c>
      <c r="BJ16" s="381">
        <f t="shared" si="38"/>
        <v>4</v>
      </c>
      <c r="BK16" s="401">
        <f t="shared" si="21"/>
        <v>6.3571428571428577</v>
      </c>
      <c r="BL16" s="401">
        <f t="shared" si="22"/>
        <v>7.8571428571428577</v>
      </c>
      <c r="BM16" s="401">
        <f t="shared" si="23"/>
        <v>7.4285714857142864</v>
      </c>
      <c r="BN16" s="401">
        <f t="shared" si="24"/>
        <v>6.8571428571428568</v>
      </c>
      <c r="BO16" s="401">
        <f t="shared" si="25"/>
        <v>5.5714285714285712</v>
      </c>
      <c r="BP16" s="401">
        <f t="shared" si="26"/>
        <v>8.5714285714285712</v>
      </c>
      <c r="BR16" s="464">
        <f t="shared" si="39"/>
        <v>0.67</v>
      </c>
      <c r="BS16" s="464">
        <f t="shared" si="40"/>
        <v>0.67</v>
      </c>
      <c r="BT16" s="464">
        <f t="shared" si="41"/>
        <v>0.67</v>
      </c>
      <c r="BU16" s="464">
        <f t="shared" si="42"/>
        <v>0.67</v>
      </c>
      <c r="BV16" s="464">
        <f t="shared" si="43"/>
        <v>0.67</v>
      </c>
      <c r="BW16" s="464">
        <f t="shared" si="44"/>
        <v>0.67</v>
      </c>
      <c r="BX16" s="430"/>
      <c r="BY16" s="461">
        <f t="shared" si="45"/>
        <v>8.9375</v>
      </c>
      <c r="BZ16" s="461">
        <f t="shared" si="46"/>
        <v>9.1875</v>
      </c>
      <c r="CA16" s="461">
        <f t="shared" si="47"/>
        <v>8.6875</v>
      </c>
      <c r="CB16" s="461">
        <f t="shared" si="48"/>
        <v>9.625</v>
      </c>
      <c r="CC16" s="461">
        <f t="shared" si="49"/>
        <v>9.75</v>
      </c>
      <c r="CD16" s="461">
        <f t="shared" si="50"/>
        <v>10</v>
      </c>
      <c r="CE16" s="430"/>
      <c r="CF16" s="430"/>
    </row>
    <row r="17" spans="3:86" x14ac:dyDescent="0.2">
      <c r="C17" s="267">
        <v>5.75</v>
      </c>
      <c r="D17" s="359">
        <v>4.7699999999999996</v>
      </c>
      <c r="E17" s="334">
        <v>4.63</v>
      </c>
      <c r="F17" s="232">
        <v>3.97</v>
      </c>
      <c r="G17" s="233">
        <f t="shared" si="29"/>
        <v>3.464</v>
      </c>
      <c r="H17" s="232">
        <v>3.31</v>
      </c>
      <c r="I17" s="233">
        <f t="shared" si="30"/>
        <v>3.1746666666666665</v>
      </c>
      <c r="J17" s="232">
        <v>2.73</v>
      </c>
      <c r="K17" s="233">
        <f t="shared" si="31"/>
        <v>2.5499999999999998</v>
      </c>
      <c r="L17" s="232">
        <v>2.19</v>
      </c>
      <c r="M17" s="233">
        <f t="shared" si="0"/>
        <v>1.7549999999999999</v>
      </c>
      <c r="N17" s="232">
        <v>1.32</v>
      </c>
      <c r="O17" s="335">
        <v>1.02</v>
      </c>
      <c r="P17" s="375">
        <v>7.5</v>
      </c>
      <c r="Q17" s="371" t="s">
        <v>41</v>
      </c>
      <c r="R17" s="436" t="s">
        <v>41</v>
      </c>
      <c r="S17" s="346">
        <f t="shared" si="32"/>
        <v>0.30996093749999998</v>
      </c>
      <c r="T17" s="347">
        <f t="shared" si="1"/>
        <v>0.30996093749999998</v>
      </c>
      <c r="U17" s="347">
        <f t="shared" si="33"/>
        <v>6.6125000000000003E-2</v>
      </c>
      <c r="V17" s="348">
        <f t="shared" si="2"/>
        <v>6.6125000000000003E-2</v>
      </c>
      <c r="W17" s="312">
        <f t="shared" si="3"/>
        <v>8.8341386718749995</v>
      </c>
      <c r="X17" s="320">
        <f t="shared" si="4"/>
        <v>5.1460859374999997</v>
      </c>
      <c r="Y17" s="246">
        <v>10.25</v>
      </c>
      <c r="Z17" s="247">
        <v>9.75</v>
      </c>
      <c r="AA17" s="307">
        <f t="shared" si="5"/>
        <v>4.3191386718749998</v>
      </c>
      <c r="AB17" s="231">
        <f t="shared" si="6"/>
        <v>2.5660859375</v>
      </c>
      <c r="AC17" s="234">
        <v>17.5</v>
      </c>
      <c r="AD17" s="247">
        <v>9.5</v>
      </c>
      <c r="AE17" s="307">
        <f t="shared" si="34"/>
        <v>6.5486386718750005</v>
      </c>
      <c r="AF17" s="231">
        <f t="shared" si="35"/>
        <v>3.8400859375</v>
      </c>
      <c r="AG17" s="234">
        <v>11.25</v>
      </c>
      <c r="AH17" s="247">
        <v>7.25</v>
      </c>
      <c r="AI17" s="307">
        <f t="shared" si="36"/>
        <v>6.0423053385416665</v>
      </c>
      <c r="AJ17" s="231">
        <f t="shared" si="37"/>
        <v>3.5507526041666666</v>
      </c>
      <c r="AK17" s="234">
        <v>12.25</v>
      </c>
      <c r="AL17" s="247">
        <v>7.75</v>
      </c>
      <c r="AM17" s="312">
        <f t="shared" si="7"/>
        <v>4.9491386718749997</v>
      </c>
      <c r="AN17" s="231">
        <f t="shared" si="8"/>
        <v>2.9260859374999999</v>
      </c>
      <c r="AO17" s="234">
        <v>15</v>
      </c>
      <c r="AP17" s="247">
        <v>8.75</v>
      </c>
      <c r="AQ17" s="312">
        <f t="shared" si="9"/>
        <v>3.5578886718750002</v>
      </c>
      <c r="AR17" s="231">
        <f t="shared" si="10"/>
        <v>2.1310859375</v>
      </c>
      <c r="AS17" s="234">
        <v>19.75</v>
      </c>
      <c r="AT17" s="247">
        <v>10.5</v>
      </c>
      <c r="AU17" s="312">
        <f t="shared" si="11"/>
        <v>7.4341386718750009</v>
      </c>
      <c r="AV17" s="231">
        <f t="shared" si="12"/>
        <v>4.3460859374999998</v>
      </c>
      <c r="AW17" s="234">
        <v>9.75</v>
      </c>
      <c r="AX17" s="247">
        <v>6.75</v>
      </c>
      <c r="AY17" s="345" t="s">
        <v>40</v>
      </c>
      <c r="AZ17" s="381">
        <f t="shared" si="13"/>
        <v>9.9375</v>
      </c>
      <c r="BA17" s="239">
        <f t="shared" si="14"/>
        <v>6</v>
      </c>
      <c r="BB17" s="239">
        <f t="shared" si="15"/>
        <v>7</v>
      </c>
      <c r="BC17" s="239">
        <f t="shared" si="16"/>
        <v>7</v>
      </c>
      <c r="BD17" s="239">
        <f t="shared" si="17"/>
        <v>7</v>
      </c>
      <c r="BE17" s="239">
        <f t="shared" si="18"/>
        <v>6</v>
      </c>
      <c r="BF17" s="239">
        <f t="shared" si="19"/>
        <v>8</v>
      </c>
      <c r="BG17" s="232">
        <v>0.36212081520890704</v>
      </c>
      <c r="BH17" s="232">
        <f t="shared" si="20"/>
        <v>0.67</v>
      </c>
      <c r="BI17" s="411">
        <f>VLOOKUP($AY17,'Bar Sizes'!$D$26:$F$36,3,FALSE)</f>
        <v>0.2</v>
      </c>
      <c r="BJ17" s="381">
        <f t="shared" si="38"/>
        <v>4</v>
      </c>
      <c r="BK17" s="401">
        <f t="shared" si="21"/>
        <v>6.7857142857142856</v>
      </c>
      <c r="BL17" s="401">
        <f t="shared" si="22"/>
        <v>8.2857142857142847</v>
      </c>
      <c r="BM17" s="401">
        <f t="shared" si="23"/>
        <v>7.8571429142857143</v>
      </c>
      <c r="BN17" s="401">
        <f t="shared" si="24"/>
        <v>7.2857142857142847</v>
      </c>
      <c r="BO17" s="401">
        <f t="shared" si="25"/>
        <v>6</v>
      </c>
      <c r="BP17" s="401">
        <f t="shared" si="26"/>
        <v>9</v>
      </c>
      <c r="BR17" s="464">
        <f t="shared" si="39"/>
        <v>0.67</v>
      </c>
      <c r="BS17" s="464">
        <f t="shared" si="40"/>
        <v>0.67</v>
      </c>
      <c r="BT17" s="464">
        <f t="shared" si="41"/>
        <v>0.67</v>
      </c>
      <c r="BU17" s="464">
        <f t="shared" si="42"/>
        <v>0.67</v>
      </c>
      <c r="BV17" s="464">
        <f t="shared" si="43"/>
        <v>0.67</v>
      </c>
      <c r="BW17" s="464">
        <f t="shared" si="44"/>
        <v>0.67</v>
      </c>
      <c r="BX17" s="430"/>
      <c r="BY17" s="461">
        <f t="shared" si="45"/>
        <v>9.5</v>
      </c>
      <c r="BZ17" s="461">
        <f t="shared" si="46"/>
        <v>9.6875</v>
      </c>
      <c r="CA17" s="461">
        <f t="shared" si="47"/>
        <v>9.1875</v>
      </c>
      <c r="CB17" s="461">
        <f t="shared" si="48"/>
        <v>8.5</v>
      </c>
      <c r="CC17" s="461">
        <f t="shared" si="49"/>
        <v>8.4375</v>
      </c>
      <c r="CD17" s="461">
        <f t="shared" si="50"/>
        <v>9</v>
      </c>
      <c r="CE17" s="430"/>
      <c r="CF17" s="430"/>
      <c r="CH17" t="s">
        <v>214</v>
      </c>
    </row>
    <row r="18" spans="3:86" x14ac:dyDescent="0.2">
      <c r="C18" s="267">
        <v>6</v>
      </c>
      <c r="D18" s="359">
        <v>4.83</v>
      </c>
      <c r="E18" s="334">
        <v>4.88</v>
      </c>
      <c r="F18" s="232">
        <v>4.1900000000000004</v>
      </c>
      <c r="G18" s="233">
        <f t="shared" si="29"/>
        <v>3.661</v>
      </c>
      <c r="H18" s="232">
        <v>3.5</v>
      </c>
      <c r="I18" s="233">
        <f t="shared" si="30"/>
        <v>3.3553333333333333</v>
      </c>
      <c r="J18" s="232">
        <v>2.88</v>
      </c>
      <c r="K18" s="233">
        <f t="shared" si="31"/>
        <v>2.69</v>
      </c>
      <c r="L18" s="232">
        <v>2.31</v>
      </c>
      <c r="M18" s="233">
        <f t="shared" si="0"/>
        <v>1.85</v>
      </c>
      <c r="N18" s="232">
        <v>1.39</v>
      </c>
      <c r="O18" s="335">
        <v>1.07</v>
      </c>
      <c r="P18" s="375">
        <v>7.5</v>
      </c>
      <c r="Q18" s="371" t="s">
        <v>41</v>
      </c>
      <c r="R18" s="436" t="s">
        <v>41</v>
      </c>
      <c r="S18" s="346">
        <f t="shared" si="32"/>
        <v>0.33749999999999997</v>
      </c>
      <c r="T18" s="347">
        <f t="shared" si="1"/>
        <v>0.33749999999999997</v>
      </c>
      <c r="U18" s="347">
        <f t="shared" si="33"/>
        <v>7.2000000000000008E-2</v>
      </c>
      <c r="V18" s="348">
        <f t="shared" si="2"/>
        <v>7.2000000000000008E-2</v>
      </c>
      <c r="W18" s="312">
        <f t="shared" si="3"/>
        <v>8.9823750000000011</v>
      </c>
      <c r="X18" s="320">
        <f t="shared" si="4"/>
        <v>5.2394999999999996</v>
      </c>
      <c r="Y18" s="246">
        <v>10</v>
      </c>
      <c r="Z18" s="247">
        <v>9.75</v>
      </c>
      <c r="AA18" s="307">
        <f t="shared" si="5"/>
        <v>4.5723750000000001</v>
      </c>
      <c r="AB18" s="231">
        <f t="shared" si="6"/>
        <v>2.7195</v>
      </c>
      <c r="AC18" s="234">
        <v>16.5</v>
      </c>
      <c r="AD18" s="247">
        <v>9</v>
      </c>
      <c r="AE18" s="307">
        <f t="shared" si="34"/>
        <v>6.9366249999999994</v>
      </c>
      <c r="AF18" s="231">
        <f t="shared" si="35"/>
        <v>4.0705</v>
      </c>
      <c r="AG18" s="234">
        <v>10.5</v>
      </c>
      <c r="AH18" s="247">
        <v>7</v>
      </c>
      <c r="AI18" s="307">
        <f t="shared" si="36"/>
        <v>6.4017083333333327</v>
      </c>
      <c r="AJ18" s="231">
        <f t="shared" si="37"/>
        <v>3.7648333333333333</v>
      </c>
      <c r="AK18" s="234">
        <v>11.5</v>
      </c>
      <c r="AL18" s="247">
        <v>7.25</v>
      </c>
      <c r="AM18" s="312">
        <f t="shared" si="7"/>
        <v>5.2373749999999992</v>
      </c>
      <c r="AN18" s="231">
        <f t="shared" si="8"/>
        <v>3.0994999999999999</v>
      </c>
      <c r="AO18" s="234">
        <v>14.25</v>
      </c>
      <c r="AP18" s="247">
        <v>8.25</v>
      </c>
      <c r="AQ18" s="312">
        <f t="shared" si="9"/>
        <v>3.7673750000000004</v>
      </c>
      <c r="AR18" s="231">
        <f t="shared" si="10"/>
        <v>2.2595000000000001</v>
      </c>
      <c r="AS18" s="234">
        <v>19.75</v>
      </c>
      <c r="AT18" s="247">
        <v>10.25</v>
      </c>
      <c r="AU18" s="312">
        <f t="shared" si="11"/>
        <v>7.8623750000000001</v>
      </c>
      <c r="AV18" s="231">
        <f t="shared" si="12"/>
        <v>4.5995000000000008</v>
      </c>
      <c r="AW18" s="234">
        <v>9.25</v>
      </c>
      <c r="AX18" s="247">
        <v>6.5</v>
      </c>
      <c r="AY18" s="345" t="s">
        <v>40</v>
      </c>
      <c r="AZ18" s="381">
        <f t="shared" si="13"/>
        <v>9.75</v>
      </c>
      <c r="BA18" s="239">
        <f t="shared" si="14"/>
        <v>7</v>
      </c>
      <c r="BB18" s="239">
        <f t="shared" si="15"/>
        <v>8</v>
      </c>
      <c r="BC18" s="239">
        <f t="shared" si="16"/>
        <v>7</v>
      </c>
      <c r="BD18" s="239">
        <f t="shared" si="17"/>
        <v>7</v>
      </c>
      <c r="BE18" s="239">
        <f t="shared" si="18"/>
        <v>6</v>
      </c>
      <c r="BF18" s="239">
        <f t="shared" si="19"/>
        <v>8</v>
      </c>
      <c r="BG18" s="232">
        <v>0.36851687390941135</v>
      </c>
      <c r="BH18" s="232">
        <f t="shared" si="20"/>
        <v>0.67</v>
      </c>
      <c r="BI18" s="411">
        <f>VLOOKUP($AY18,'Bar Sizes'!$D$26:$F$36,3,FALSE)</f>
        <v>0.2</v>
      </c>
      <c r="BJ18" s="381">
        <f t="shared" si="38"/>
        <v>4</v>
      </c>
      <c r="BK18" s="401">
        <f t="shared" si="21"/>
        <v>7.2142857142857135</v>
      </c>
      <c r="BL18" s="401">
        <f t="shared" si="22"/>
        <v>8.7142857142857135</v>
      </c>
      <c r="BM18" s="401">
        <f t="shared" si="23"/>
        <v>8.2857143428571423</v>
      </c>
      <c r="BN18" s="401">
        <f t="shared" si="24"/>
        <v>7.7142857142857153</v>
      </c>
      <c r="BO18" s="401">
        <f t="shared" si="25"/>
        <v>6.4285714285714288</v>
      </c>
      <c r="BP18" s="401">
        <f t="shared" si="26"/>
        <v>9.4285714285714288</v>
      </c>
      <c r="BR18" s="464">
        <f t="shared" si="39"/>
        <v>0.67</v>
      </c>
      <c r="BS18" s="464">
        <f t="shared" si="40"/>
        <v>0.67</v>
      </c>
      <c r="BT18" s="464">
        <f t="shared" si="41"/>
        <v>0.67</v>
      </c>
      <c r="BU18" s="464">
        <f t="shared" si="42"/>
        <v>0.67</v>
      </c>
      <c r="BV18" s="464">
        <f t="shared" si="43"/>
        <v>0.67</v>
      </c>
      <c r="BW18" s="464">
        <f t="shared" si="44"/>
        <v>0.67</v>
      </c>
      <c r="BX18" s="430"/>
      <c r="BY18" s="461">
        <f t="shared" si="45"/>
        <v>8.4375</v>
      </c>
      <c r="BZ18" s="461">
        <f t="shared" si="46"/>
        <v>8.75</v>
      </c>
      <c r="CA18" s="461">
        <f t="shared" si="47"/>
        <v>9.6875</v>
      </c>
      <c r="CB18" s="461">
        <f t="shared" si="48"/>
        <v>9</v>
      </c>
      <c r="CC18" s="461">
        <f t="shared" si="49"/>
        <v>9</v>
      </c>
      <c r="CD18" s="461">
        <f t="shared" si="50"/>
        <v>9.4375</v>
      </c>
      <c r="CE18" s="430"/>
      <c r="CF18" s="430"/>
      <c r="CH18" t="s">
        <v>215</v>
      </c>
    </row>
    <row r="19" spans="3:86" x14ac:dyDescent="0.2">
      <c r="C19" s="267">
        <v>6.25</v>
      </c>
      <c r="D19" s="359">
        <v>4.91</v>
      </c>
      <c r="E19" s="334">
        <v>5.0999999999999996</v>
      </c>
      <c r="F19" s="232">
        <v>4.3899999999999997</v>
      </c>
      <c r="G19" s="233">
        <f t="shared" si="29"/>
        <v>3.8456666666666668</v>
      </c>
      <c r="H19" s="232">
        <v>3.68</v>
      </c>
      <c r="I19" s="233">
        <f t="shared" si="30"/>
        <v>3.5260000000000002</v>
      </c>
      <c r="J19" s="232">
        <v>3.02</v>
      </c>
      <c r="K19" s="233">
        <f t="shared" si="31"/>
        <v>2.82</v>
      </c>
      <c r="L19" s="232">
        <v>2.42</v>
      </c>
      <c r="M19" s="233">
        <f t="shared" si="0"/>
        <v>1.9350000000000001</v>
      </c>
      <c r="N19" s="232">
        <v>1.45</v>
      </c>
      <c r="O19" s="335">
        <v>1.1299999999999999</v>
      </c>
      <c r="P19" s="375">
        <v>7.5</v>
      </c>
      <c r="Q19" s="371" t="s">
        <v>41</v>
      </c>
      <c r="R19" s="436" t="s">
        <v>41</v>
      </c>
      <c r="S19" s="346">
        <f t="shared" si="32"/>
        <v>0.3662109375</v>
      </c>
      <c r="T19" s="347">
        <f t="shared" si="1"/>
        <v>0.3662109375</v>
      </c>
      <c r="U19" s="347">
        <f t="shared" si="33"/>
        <v>7.8125E-2</v>
      </c>
      <c r="V19" s="348">
        <f t="shared" si="2"/>
        <v>7.8125E-2</v>
      </c>
      <c r="W19" s="312">
        <f t="shared" si="3"/>
        <v>9.1674511718750011</v>
      </c>
      <c r="X19" s="320">
        <f t="shared" si="4"/>
        <v>5.3543359375000001</v>
      </c>
      <c r="Y19" s="246">
        <v>9.75</v>
      </c>
      <c r="Z19" s="247">
        <v>9.5</v>
      </c>
      <c r="AA19" s="307">
        <f t="shared" si="5"/>
        <v>4.8099511718749994</v>
      </c>
      <c r="AB19" s="231">
        <f t="shared" si="6"/>
        <v>2.8643359374999999</v>
      </c>
      <c r="AC19" s="234">
        <v>15.5</v>
      </c>
      <c r="AD19" s="247">
        <v>8.75</v>
      </c>
      <c r="AE19" s="307">
        <f t="shared" si="34"/>
        <v>7.304867838541667</v>
      </c>
      <c r="AF19" s="231">
        <f t="shared" si="35"/>
        <v>4.2900026041666663</v>
      </c>
      <c r="AG19" s="234">
        <v>10</v>
      </c>
      <c r="AH19" s="247">
        <v>6.75</v>
      </c>
      <c r="AI19" s="307">
        <f t="shared" si="36"/>
        <v>6.7454511718750005</v>
      </c>
      <c r="AJ19" s="231">
        <f t="shared" si="37"/>
        <v>3.9703359375000002</v>
      </c>
      <c r="AK19" s="234">
        <v>11</v>
      </c>
      <c r="AL19" s="247">
        <v>7</v>
      </c>
      <c r="AM19" s="312">
        <f t="shared" si="7"/>
        <v>5.5099511718749996</v>
      </c>
      <c r="AN19" s="231">
        <f t="shared" si="8"/>
        <v>3.2643359374999998</v>
      </c>
      <c r="AO19" s="234">
        <v>13.5</v>
      </c>
      <c r="AP19" s="247">
        <v>8</v>
      </c>
      <c r="AQ19" s="312">
        <f t="shared" si="9"/>
        <v>3.961201171875</v>
      </c>
      <c r="AR19" s="231">
        <f t="shared" si="10"/>
        <v>2.3793359375000001</v>
      </c>
      <c r="AS19" s="234">
        <v>19</v>
      </c>
      <c r="AT19" s="247">
        <v>10</v>
      </c>
      <c r="AU19" s="312">
        <f t="shared" si="11"/>
        <v>8.2574511718749992</v>
      </c>
      <c r="AV19" s="231">
        <f t="shared" si="12"/>
        <v>4.8343359374999997</v>
      </c>
      <c r="AW19" s="234">
        <v>8.75</v>
      </c>
      <c r="AX19" s="247">
        <v>6.25</v>
      </c>
      <c r="AY19" s="345" t="s">
        <v>40</v>
      </c>
      <c r="AZ19" s="381">
        <f t="shared" si="13"/>
        <v>9.5625</v>
      </c>
      <c r="BA19" s="239">
        <f t="shared" si="14"/>
        <v>7</v>
      </c>
      <c r="BB19" s="239">
        <f t="shared" si="15"/>
        <v>8</v>
      </c>
      <c r="BC19" s="239">
        <f t="shared" si="16"/>
        <v>8</v>
      </c>
      <c r="BD19" s="239">
        <f t="shared" si="17"/>
        <v>7</v>
      </c>
      <c r="BE19" s="239">
        <f t="shared" si="18"/>
        <v>6</v>
      </c>
      <c r="BF19" s="239">
        <f t="shared" si="19"/>
        <v>9</v>
      </c>
      <c r="BG19" s="232">
        <v>0.37651893664227642</v>
      </c>
      <c r="BH19" s="232">
        <f t="shared" si="20"/>
        <v>0.67</v>
      </c>
      <c r="BI19" s="411">
        <f>VLOOKUP($AY19,'Bar Sizes'!$D$26:$F$36,3,FALSE)</f>
        <v>0.2</v>
      </c>
      <c r="BJ19" s="381">
        <f t="shared" si="38"/>
        <v>4</v>
      </c>
      <c r="BK19" s="401">
        <f t="shared" si="21"/>
        <v>7.6428571428571423</v>
      </c>
      <c r="BL19" s="401">
        <f t="shared" si="22"/>
        <v>9.1428571428571423</v>
      </c>
      <c r="BM19" s="401">
        <f t="shared" si="23"/>
        <v>8.7142857714285711</v>
      </c>
      <c r="BN19" s="401">
        <f t="shared" si="24"/>
        <v>8.1428571428571423</v>
      </c>
      <c r="BO19" s="401">
        <f t="shared" si="25"/>
        <v>6.8571428571428568</v>
      </c>
      <c r="BP19" s="401">
        <f t="shared" si="26"/>
        <v>9.8571428571428577</v>
      </c>
      <c r="BR19" s="464">
        <f t="shared" si="39"/>
        <v>0.67</v>
      </c>
      <c r="BS19" s="464">
        <f t="shared" si="40"/>
        <v>0.67</v>
      </c>
      <c r="BT19" s="464">
        <f t="shared" si="41"/>
        <v>0.67</v>
      </c>
      <c r="BU19" s="464">
        <f t="shared" si="42"/>
        <v>0.67</v>
      </c>
      <c r="BV19" s="464">
        <f t="shared" si="43"/>
        <v>0.67</v>
      </c>
      <c r="BW19" s="464">
        <f t="shared" si="44"/>
        <v>0.67</v>
      </c>
      <c r="BX19" s="430"/>
      <c r="BY19" s="461">
        <f t="shared" si="45"/>
        <v>8.9375</v>
      </c>
      <c r="BZ19" s="461">
        <f t="shared" si="46"/>
        <v>9.1875</v>
      </c>
      <c r="CA19" s="461">
        <f t="shared" si="47"/>
        <v>8.75</v>
      </c>
      <c r="CB19" s="461">
        <f t="shared" si="48"/>
        <v>9.5</v>
      </c>
      <c r="CC19" s="461">
        <f t="shared" si="49"/>
        <v>9.625</v>
      </c>
      <c r="CD19" s="461">
        <f t="shared" si="50"/>
        <v>8.625</v>
      </c>
      <c r="CE19" s="430"/>
      <c r="CF19" s="430"/>
    </row>
    <row r="20" spans="3:86" x14ac:dyDescent="0.2">
      <c r="C20" s="267">
        <v>6.5</v>
      </c>
      <c r="D20" s="359">
        <v>5</v>
      </c>
      <c r="E20" s="334">
        <v>5.31</v>
      </c>
      <c r="F20" s="232">
        <v>4.57</v>
      </c>
      <c r="G20" s="233">
        <f t="shared" si="29"/>
        <v>4.0103333333333335</v>
      </c>
      <c r="H20" s="232">
        <v>3.84</v>
      </c>
      <c r="I20" s="233">
        <f t="shared" si="30"/>
        <v>3.6789999999999998</v>
      </c>
      <c r="J20" s="232">
        <v>3.15</v>
      </c>
      <c r="K20" s="233">
        <f t="shared" si="31"/>
        <v>2.9433333333333334</v>
      </c>
      <c r="L20" s="232">
        <v>2.5299999999999998</v>
      </c>
      <c r="M20" s="233">
        <f t="shared" si="0"/>
        <v>2.0149999999999997</v>
      </c>
      <c r="N20" s="232">
        <v>1.5</v>
      </c>
      <c r="O20" s="335">
        <v>1.2</v>
      </c>
      <c r="P20" s="375">
        <v>7.5</v>
      </c>
      <c r="Q20" s="371" t="s">
        <v>41</v>
      </c>
      <c r="R20" s="436" t="s">
        <v>41</v>
      </c>
      <c r="S20" s="346">
        <f t="shared" si="32"/>
        <v>0.39609374999999997</v>
      </c>
      <c r="T20" s="347">
        <f t="shared" si="1"/>
        <v>0.39609374999999997</v>
      </c>
      <c r="U20" s="347">
        <f t="shared" si="33"/>
        <v>8.4500000000000006E-2</v>
      </c>
      <c r="V20" s="348">
        <f t="shared" si="2"/>
        <v>8.4500000000000006E-2</v>
      </c>
      <c r="W20" s="312">
        <f t="shared" si="3"/>
        <v>9.3718671874999995</v>
      </c>
      <c r="X20" s="320">
        <f t="shared" si="4"/>
        <v>5.4805937499999997</v>
      </c>
      <c r="Y20" s="246">
        <v>9.5</v>
      </c>
      <c r="Z20" s="247">
        <v>9.5</v>
      </c>
      <c r="AA20" s="307">
        <f t="shared" si="5"/>
        <v>5.0493671874999997</v>
      </c>
      <c r="AB20" s="231">
        <f t="shared" si="6"/>
        <v>3.01059375</v>
      </c>
      <c r="AC20" s="234">
        <v>14.75</v>
      </c>
      <c r="AD20" s="247">
        <v>8.5</v>
      </c>
      <c r="AE20" s="307">
        <f t="shared" si="34"/>
        <v>7.6399505208333327</v>
      </c>
      <c r="AF20" s="231">
        <f t="shared" si="35"/>
        <v>4.4909270833333332</v>
      </c>
      <c r="AG20" s="234">
        <v>9.5</v>
      </c>
      <c r="AH20" s="247">
        <v>6.5</v>
      </c>
      <c r="AI20" s="307">
        <f t="shared" si="36"/>
        <v>7.0601171874999995</v>
      </c>
      <c r="AJ20" s="231">
        <f t="shared" si="37"/>
        <v>4.15959375</v>
      </c>
      <c r="AK20" s="234">
        <v>10.25</v>
      </c>
      <c r="AL20" s="247">
        <v>7</v>
      </c>
      <c r="AM20" s="312">
        <f t="shared" si="7"/>
        <v>5.7727005208333324</v>
      </c>
      <c r="AN20" s="231">
        <f t="shared" si="8"/>
        <v>3.4239270833333335</v>
      </c>
      <c r="AO20" s="234">
        <v>12.75</v>
      </c>
      <c r="AP20" s="247">
        <v>7.75</v>
      </c>
      <c r="AQ20" s="312">
        <f t="shared" si="9"/>
        <v>4.1481171874999987</v>
      </c>
      <c r="AR20" s="231">
        <f t="shared" si="10"/>
        <v>2.4955937499999998</v>
      </c>
      <c r="AS20" s="234">
        <v>18.25</v>
      </c>
      <c r="AT20" s="247">
        <v>9.5</v>
      </c>
      <c r="AU20" s="312">
        <f t="shared" si="11"/>
        <v>8.6193671875</v>
      </c>
      <c r="AV20" s="231">
        <f t="shared" si="12"/>
        <v>5.05059375</v>
      </c>
      <c r="AW20" s="234">
        <v>8.25</v>
      </c>
      <c r="AX20" s="247">
        <v>6</v>
      </c>
      <c r="AY20" s="345" t="s">
        <v>40</v>
      </c>
      <c r="AZ20" s="381">
        <f t="shared" si="13"/>
        <v>9.3125</v>
      </c>
      <c r="BA20" s="239">
        <f t="shared" si="14"/>
        <v>8</v>
      </c>
      <c r="BB20" s="239">
        <f t="shared" si="15"/>
        <v>9</v>
      </c>
      <c r="BC20" s="239">
        <f t="shared" si="16"/>
        <v>8</v>
      </c>
      <c r="BD20" s="239">
        <f t="shared" si="17"/>
        <v>8</v>
      </c>
      <c r="BE20" s="239">
        <f t="shared" si="18"/>
        <v>7</v>
      </c>
      <c r="BF20" s="239">
        <f t="shared" si="19"/>
        <v>9</v>
      </c>
      <c r="BG20" s="232">
        <v>0.38537856009842414</v>
      </c>
      <c r="BH20" s="232">
        <f t="shared" si="20"/>
        <v>0.67</v>
      </c>
      <c r="BI20" s="411">
        <f>VLOOKUP($AY20,'Bar Sizes'!$D$26:$F$36,3,FALSE)</f>
        <v>0.2</v>
      </c>
      <c r="BJ20" s="381">
        <f t="shared" si="38"/>
        <v>4</v>
      </c>
      <c r="BK20" s="401">
        <f t="shared" si="21"/>
        <v>8.0714285714285712</v>
      </c>
      <c r="BL20" s="401">
        <f t="shared" si="22"/>
        <v>9.5714285714285712</v>
      </c>
      <c r="BM20" s="401">
        <f t="shared" si="23"/>
        <v>9.1428571999999999</v>
      </c>
      <c r="BN20" s="401">
        <f t="shared" si="24"/>
        <v>8.5714285714285712</v>
      </c>
      <c r="BO20" s="401">
        <f t="shared" si="25"/>
        <v>7.2857142857142847</v>
      </c>
      <c r="BP20" s="401">
        <f t="shared" si="26"/>
        <v>10.285714285714285</v>
      </c>
      <c r="BR20" s="464">
        <f t="shared" si="39"/>
        <v>0.67</v>
      </c>
      <c r="BS20" s="464">
        <f t="shared" si="40"/>
        <v>0.67</v>
      </c>
      <c r="BT20" s="464">
        <f t="shared" si="41"/>
        <v>0.67</v>
      </c>
      <c r="BU20" s="464">
        <f t="shared" si="42"/>
        <v>0.67</v>
      </c>
      <c r="BV20" s="464">
        <f t="shared" si="43"/>
        <v>0.67</v>
      </c>
      <c r="BW20" s="464">
        <f t="shared" si="44"/>
        <v>0.67</v>
      </c>
      <c r="BX20" s="430"/>
      <c r="BY20" s="461">
        <f t="shared" si="45"/>
        <v>8.125</v>
      </c>
      <c r="BZ20" s="461">
        <f t="shared" si="46"/>
        <v>8.375</v>
      </c>
      <c r="CA20" s="461">
        <f t="shared" si="47"/>
        <v>9.1875</v>
      </c>
      <c r="CB20" s="461">
        <f t="shared" si="48"/>
        <v>8.625</v>
      </c>
      <c r="CC20" s="461">
        <f t="shared" si="49"/>
        <v>8.5</v>
      </c>
      <c r="CD20" s="461">
        <f t="shared" si="50"/>
        <v>9</v>
      </c>
      <c r="CE20" s="430"/>
      <c r="CF20" s="430"/>
      <c r="CH20" t="s">
        <v>632</v>
      </c>
    </row>
    <row r="21" spans="3:86" x14ac:dyDescent="0.2">
      <c r="C21" s="267">
        <v>6.75</v>
      </c>
      <c r="D21" s="359">
        <v>5.0999999999999996</v>
      </c>
      <c r="E21" s="334">
        <v>5.5</v>
      </c>
      <c r="F21" s="232">
        <v>4.74</v>
      </c>
      <c r="G21" s="233">
        <f t="shared" si="29"/>
        <v>4.165</v>
      </c>
      <c r="H21" s="232">
        <v>3.99</v>
      </c>
      <c r="I21" s="233">
        <f t="shared" si="30"/>
        <v>3.8220000000000001</v>
      </c>
      <c r="J21" s="232">
        <v>3.27</v>
      </c>
      <c r="K21" s="233">
        <f t="shared" si="31"/>
        <v>3.06</v>
      </c>
      <c r="L21" s="232">
        <v>2.64</v>
      </c>
      <c r="M21" s="233">
        <f t="shared" si="0"/>
        <v>2.1100000000000003</v>
      </c>
      <c r="N21" s="232">
        <v>1.58</v>
      </c>
      <c r="O21" s="335">
        <v>1.28</v>
      </c>
      <c r="P21" s="375">
        <v>7.5</v>
      </c>
      <c r="Q21" s="371" t="s">
        <v>41</v>
      </c>
      <c r="R21" s="436" t="s">
        <v>41</v>
      </c>
      <c r="S21" s="346">
        <f t="shared" si="32"/>
        <v>0.42714843749999998</v>
      </c>
      <c r="T21" s="347">
        <f t="shared" si="1"/>
        <v>0.42714843749999998</v>
      </c>
      <c r="U21" s="347">
        <f t="shared" si="33"/>
        <v>9.1124999999999998E-2</v>
      </c>
      <c r="V21" s="348">
        <f t="shared" si="2"/>
        <v>9.1124999999999998E-2</v>
      </c>
      <c r="W21" s="312">
        <f t="shared" si="3"/>
        <v>9.5956230468749997</v>
      </c>
      <c r="X21" s="320">
        <f t="shared" si="4"/>
        <v>5.6182734374999992</v>
      </c>
      <c r="Y21" s="246">
        <v>9.25</v>
      </c>
      <c r="Z21" s="247">
        <v>9.25</v>
      </c>
      <c r="AA21" s="307">
        <f t="shared" si="5"/>
        <v>5.290623046875</v>
      </c>
      <c r="AB21" s="231">
        <f t="shared" si="6"/>
        <v>3.1582734375000001</v>
      </c>
      <c r="AC21" s="234">
        <v>14</v>
      </c>
      <c r="AD21" s="247">
        <v>8.25</v>
      </c>
      <c r="AE21" s="307">
        <f t="shared" si="34"/>
        <v>7.9593730468750001</v>
      </c>
      <c r="AF21" s="231">
        <f t="shared" si="35"/>
        <v>4.6832734375000005</v>
      </c>
      <c r="AG21" s="234">
        <v>9</v>
      </c>
      <c r="AH21" s="247">
        <v>6.25</v>
      </c>
      <c r="AI21" s="307">
        <f t="shared" si="36"/>
        <v>7.3591230468750002</v>
      </c>
      <c r="AJ21" s="231">
        <f t="shared" si="37"/>
        <v>4.3402734375000005</v>
      </c>
      <c r="AK21" s="234">
        <v>10</v>
      </c>
      <c r="AL21" s="247">
        <v>6.75</v>
      </c>
      <c r="AM21" s="312">
        <f t="shared" si="7"/>
        <v>6.0256230468750003</v>
      </c>
      <c r="AN21" s="231">
        <f t="shared" si="8"/>
        <v>3.5782734375</v>
      </c>
      <c r="AO21" s="234">
        <v>12.25</v>
      </c>
      <c r="AP21" s="247">
        <v>7.5</v>
      </c>
      <c r="AQ21" s="312">
        <f t="shared" si="9"/>
        <v>4.3631230468750006</v>
      </c>
      <c r="AR21" s="231">
        <f t="shared" si="10"/>
        <v>2.6282734375000003</v>
      </c>
      <c r="AS21" s="234">
        <v>17.25</v>
      </c>
      <c r="AT21" s="247">
        <v>9.25</v>
      </c>
      <c r="AU21" s="312">
        <f t="shared" si="11"/>
        <v>8.9656230468750007</v>
      </c>
      <c r="AV21" s="231">
        <f t="shared" si="12"/>
        <v>5.2582734374999998</v>
      </c>
      <c r="AW21" s="234">
        <v>8</v>
      </c>
      <c r="AX21" s="247">
        <v>5.75</v>
      </c>
      <c r="AY21" s="345" t="s">
        <v>40</v>
      </c>
      <c r="AZ21" s="381">
        <f t="shared" si="13"/>
        <v>9.125</v>
      </c>
      <c r="BA21" s="239">
        <f t="shared" si="14"/>
        <v>8</v>
      </c>
      <c r="BB21" s="239">
        <f t="shared" si="15"/>
        <v>9</v>
      </c>
      <c r="BC21" s="239">
        <f t="shared" si="16"/>
        <v>9</v>
      </c>
      <c r="BD21" s="239">
        <f t="shared" si="17"/>
        <v>8</v>
      </c>
      <c r="BE21" s="239">
        <f t="shared" si="18"/>
        <v>7</v>
      </c>
      <c r="BF21" s="239">
        <f t="shared" si="19"/>
        <v>10</v>
      </c>
      <c r="BG21" s="232">
        <v>0.39510230832258103</v>
      </c>
      <c r="BH21" s="232">
        <f t="shared" si="20"/>
        <v>0.67</v>
      </c>
      <c r="BI21" s="411">
        <f>VLOOKUP($AY21,'Bar Sizes'!$D$26:$F$36,3,FALSE)</f>
        <v>0.2</v>
      </c>
      <c r="BJ21" s="381">
        <f t="shared" si="38"/>
        <v>4</v>
      </c>
      <c r="BK21" s="401">
        <f t="shared" si="21"/>
        <v>8.5</v>
      </c>
      <c r="BL21" s="401">
        <f t="shared" si="22"/>
        <v>10</v>
      </c>
      <c r="BM21" s="401">
        <f t="shared" si="23"/>
        <v>9.5714286285714287</v>
      </c>
      <c r="BN21" s="401">
        <f t="shared" si="24"/>
        <v>9</v>
      </c>
      <c r="BO21" s="401">
        <f t="shared" si="25"/>
        <v>7.7142857142857153</v>
      </c>
      <c r="BP21" s="401">
        <f t="shared" si="26"/>
        <v>10.714285714285715</v>
      </c>
      <c r="BR21" s="464">
        <f t="shared" si="39"/>
        <v>0.67</v>
      </c>
      <c r="BS21" s="464">
        <f t="shared" si="40"/>
        <v>0.67</v>
      </c>
      <c r="BT21" s="464">
        <f t="shared" si="41"/>
        <v>0.67</v>
      </c>
      <c r="BU21" s="464">
        <f t="shared" si="42"/>
        <v>0.67</v>
      </c>
      <c r="BV21" s="464">
        <f t="shared" si="43"/>
        <v>0.67</v>
      </c>
      <c r="BW21" s="464">
        <f t="shared" si="44"/>
        <v>0.67</v>
      </c>
      <c r="BX21" s="430"/>
      <c r="BY21" s="461">
        <f t="shared" si="45"/>
        <v>8.5</v>
      </c>
      <c r="BZ21" s="461">
        <f t="shared" si="46"/>
        <v>8.75</v>
      </c>
      <c r="CA21" s="461">
        <f t="shared" si="47"/>
        <v>8.375</v>
      </c>
      <c r="CB21" s="461">
        <f t="shared" si="48"/>
        <v>9</v>
      </c>
      <c r="CC21" s="461">
        <f t="shared" si="49"/>
        <v>9</v>
      </c>
      <c r="CD21" s="461">
        <f t="shared" si="50"/>
        <v>8.375</v>
      </c>
      <c r="CE21" s="430"/>
      <c r="CF21" s="430"/>
      <c r="CH21" t="s">
        <v>216</v>
      </c>
    </row>
    <row r="22" spans="3:86" x14ac:dyDescent="0.2">
      <c r="C22" s="267">
        <v>7</v>
      </c>
      <c r="D22" s="359">
        <v>5.21</v>
      </c>
      <c r="E22" s="334">
        <v>5.98</v>
      </c>
      <c r="F22" s="232">
        <v>5.17</v>
      </c>
      <c r="G22" s="233">
        <f t="shared" si="29"/>
        <v>4.5490000000000004</v>
      </c>
      <c r="H22" s="232">
        <v>4.3600000000000003</v>
      </c>
      <c r="I22" s="233">
        <f t="shared" si="30"/>
        <v>4.1733333333333338</v>
      </c>
      <c r="J22" s="232">
        <v>3.56</v>
      </c>
      <c r="K22" s="233">
        <f t="shared" si="31"/>
        <v>3.32</v>
      </c>
      <c r="L22" s="232">
        <v>2.84</v>
      </c>
      <c r="M22" s="233">
        <f t="shared" si="0"/>
        <v>2.2349999999999999</v>
      </c>
      <c r="N22" s="232">
        <v>1.63</v>
      </c>
      <c r="O22" s="335">
        <v>1.37</v>
      </c>
      <c r="P22" s="375">
        <v>7.5</v>
      </c>
      <c r="Q22" s="371" t="s">
        <v>41</v>
      </c>
      <c r="R22" s="436" t="s">
        <v>41</v>
      </c>
      <c r="S22" s="346">
        <f t="shared" si="32"/>
        <v>0.45937499999999998</v>
      </c>
      <c r="T22" s="347">
        <f t="shared" si="1"/>
        <v>0.45937499999999998</v>
      </c>
      <c r="U22" s="347">
        <f t="shared" si="33"/>
        <v>9.8000000000000004E-2</v>
      </c>
      <c r="V22" s="348">
        <f t="shared" si="2"/>
        <v>9.8000000000000004E-2</v>
      </c>
      <c r="W22" s="312">
        <f t="shared" si="3"/>
        <v>9.83871875</v>
      </c>
      <c r="X22" s="320">
        <f t="shared" si="4"/>
        <v>5.7673749999999995</v>
      </c>
      <c r="Y22" s="246">
        <v>9</v>
      </c>
      <c r="Z22" s="247">
        <v>9.25</v>
      </c>
      <c r="AA22" s="307">
        <f t="shared" si="5"/>
        <v>5.69121875</v>
      </c>
      <c r="AB22" s="231">
        <f t="shared" si="6"/>
        <v>3.3973749999999998</v>
      </c>
      <c r="AC22" s="234">
        <v>13</v>
      </c>
      <c r="AD22" s="247">
        <v>7.75</v>
      </c>
      <c r="AE22" s="307">
        <f t="shared" si="34"/>
        <v>8.6819687500000011</v>
      </c>
      <c r="AF22" s="231">
        <f t="shared" si="35"/>
        <v>5.1063749999999999</v>
      </c>
      <c r="AG22" s="234">
        <v>8.25</v>
      </c>
      <c r="AH22" s="247">
        <v>6</v>
      </c>
      <c r="AI22" s="307">
        <f t="shared" si="36"/>
        <v>8.0245520833333348</v>
      </c>
      <c r="AJ22" s="231">
        <f t="shared" si="37"/>
        <v>4.7307083333333342</v>
      </c>
      <c r="AK22" s="234">
        <v>9</v>
      </c>
      <c r="AL22" s="247">
        <v>6.25</v>
      </c>
      <c r="AM22" s="312">
        <f t="shared" si="7"/>
        <v>6.5312187499999999</v>
      </c>
      <c r="AN22" s="231">
        <f t="shared" si="8"/>
        <v>3.8773749999999998</v>
      </c>
      <c r="AO22" s="234">
        <v>11.25</v>
      </c>
      <c r="AP22" s="247">
        <v>7.25</v>
      </c>
      <c r="AQ22" s="312">
        <f t="shared" si="9"/>
        <v>4.6324687500000001</v>
      </c>
      <c r="AR22" s="231">
        <f t="shared" si="10"/>
        <v>2.7923749999999998</v>
      </c>
      <c r="AS22" s="234">
        <v>16.25</v>
      </c>
      <c r="AT22" s="247">
        <v>9</v>
      </c>
      <c r="AU22" s="312">
        <f t="shared" si="11"/>
        <v>9.7687187499999997</v>
      </c>
      <c r="AV22" s="231">
        <f t="shared" si="12"/>
        <v>5.7273750000000003</v>
      </c>
      <c r="AW22" s="234">
        <v>7.25</v>
      </c>
      <c r="AX22" s="247">
        <v>5.5</v>
      </c>
      <c r="AY22" s="345" t="s">
        <v>40</v>
      </c>
      <c r="AZ22" s="381">
        <f t="shared" si="13"/>
        <v>8.875</v>
      </c>
      <c r="BA22" s="239">
        <f t="shared" si="14"/>
        <v>9</v>
      </c>
      <c r="BB22" s="239">
        <f t="shared" si="15"/>
        <v>10</v>
      </c>
      <c r="BC22" s="239">
        <f t="shared" si="16"/>
        <v>9</v>
      </c>
      <c r="BD22" s="239">
        <f t="shared" si="17"/>
        <v>9</v>
      </c>
      <c r="BE22" s="239">
        <f t="shared" si="18"/>
        <v>8</v>
      </c>
      <c r="BF22" s="239">
        <f t="shared" si="19"/>
        <v>10</v>
      </c>
      <c r="BG22" s="232">
        <v>0.40569746294570469</v>
      </c>
      <c r="BH22" s="232">
        <f t="shared" si="20"/>
        <v>0.67</v>
      </c>
      <c r="BI22" s="411">
        <f>VLOOKUP($AY22,'Bar Sizes'!$D$26:$F$36,3,FALSE)</f>
        <v>0.2</v>
      </c>
      <c r="BJ22" s="381">
        <f t="shared" si="38"/>
        <v>4</v>
      </c>
      <c r="BK22" s="401">
        <f t="shared" si="21"/>
        <v>8.928571428571427</v>
      </c>
      <c r="BL22" s="401">
        <f t="shared" si="22"/>
        <v>10.428571428571427</v>
      </c>
      <c r="BM22" s="401">
        <f t="shared" si="23"/>
        <v>10.000000057142856</v>
      </c>
      <c r="BN22" s="401">
        <f t="shared" si="24"/>
        <v>9.4285714285714288</v>
      </c>
      <c r="BO22" s="401">
        <f t="shared" si="25"/>
        <v>8.1428571428571423</v>
      </c>
      <c r="BP22" s="401">
        <f t="shared" si="26"/>
        <v>11.142857142857142</v>
      </c>
      <c r="BR22" s="464">
        <f t="shared" si="39"/>
        <v>0.67</v>
      </c>
      <c r="BS22" s="464">
        <f t="shared" si="40"/>
        <v>0.67</v>
      </c>
      <c r="BT22" s="464">
        <f t="shared" si="41"/>
        <v>0.67</v>
      </c>
      <c r="BU22" s="464">
        <f t="shared" si="42"/>
        <v>0.67</v>
      </c>
      <c r="BV22" s="464">
        <f t="shared" si="43"/>
        <v>0.67</v>
      </c>
      <c r="BW22" s="464">
        <f t="shared" si="44"/>
        <v>0.67</v>
      </c>
      <c r="BX22" s="430"/>
      <c r="BY22" s="461">
        <f t="shared" si="45"/>
        <v>7.8125</v>
      </c>
      <c r="BZ22" s="461">
        <f t="shared" si="46"/>
        <v>8.125</v>
      </c>
      <c r="CA22" s="461">
        <f t="shared" si="47"/>
        <v>8.75</v>
      </c>
      <c r="CB22" s="461">
        <f t="shared" si="48"/>
        <v>8.25</v>
      </c>
      <c r="CC22" s="461">
        <f t="shared" si="49"/>
        <v>8.1875</v>
      </c>
      <c r="CD22" s="461">
        <f t="shared" si="50"/>
        <v>8.6875</v>
      </c>
      <c r="CE22" s="430"/>
      <c r="CF22" s="430"/>
      <c r="CH22" t="s">
        <v>217</v>
      </c>
    </row>
    <row r="23" spans="3:86" x14ac:dyDescent="0.2">
      <c r="C23" s="267">
        <v>7.25</v>
      </c>
      <c r="D23" s="359">
        <v>5.32</v>
      </c>
      <c r="E23" s="334">
        <v>6.13</v>
      </c>
      <c r="F23" s="232">
        <v>5.31</v>
      </c>
      <c r="G23" s="233">
        <f t="shared" si="29"/>
        <v>4.6813333333333338</v>
      </c>
      <c r="H23" s="232">
        <v>4.49</v>
      </c>
      <c r="I23" s="233">
        <f t="shared" si="30"/>
        <v>4.3010000000000002</v>
      </c>
      <c r="J23" s="232">
        <v>3.68</v>
      </c>
      <c r="K23" s="233">
        <f t="shared" si="31"/>
        <v>3.44</v>
      </c>
      <c r="L23" s="232">
        <v>2.96</v>
      </c>
      <c r="M23" s="233">
        <f t="shared" si="0"/>
        <v>2.3049999999999997</v>
      </c>
      <c r="N23" s="232">
        <v>1.65</v>
      </c>
      <c r="O23" s="335">
        <v>1.51</v>
      </c>
      <c r="P23" s="375">
        <v>7.75</v>
      </c>
      <c r="Q23" s="371" t="s">
        <v>41</v>
      </c>
      <c r="R23" s="368" t="str">
        <f t="shared" ref="R23:R54" si="51">Q23</f>
        <v># 5</v>
      </c>
      <c r="S23" s="346">
        <f t="shared" si="32"/>
        <v>0.50919921875000007</v>
      </c>
      <c r="T23" s="347">
        <f t="shared" si="1"/>
        <v>0.50919921875000007</v>
      </c>
      <c r="U23" s="347">
        <f t="shared" si="33"/>
        <v>0.105125</v>
      </c>
      <c r="V23" s="348">
        <f t="shared" si="2"/>
        <v>0.105125</v>
      </c>
      <c r="W23" s="312">
        <f t="shared" si="3"/>
        <v>10.1041865234375</v>
      </c>
      <c r="X23" s="320">
        <f t="shared" si="4"/>
        <v>5.9343242187500005</v>
      </c>
      <c r="Y23" s="246">
        <v>9.25</v>
      </c>
      <c r="Z23" s="247">
        <v>9.25</v>
      </c>
      <c r="AA23" s="307">
        <f t="shared" si="5"/>
        <v>5.9741865234375</v>
      </c>
      <c r="AB23" s="231">
        <f t="shared" si="6"/>
        <v>3.5743242187500002</v>
      </c>
      <c r="AC23" s="234">
        <v>13.25</v>
      </c>
      <c r="AD23" s="247">
        <v>8</v>
      </c>
      <c r="AE23" s="307">
        <f t="shared" si="34"/>
        <v>8.9865198567708333</v>
      </c>
      <c r="AF23" s="231">
        <f t="shared" si="35"/>
        <v>5.295657552083334</v>
      </c>
      <c r="AG23" s="234">
        <v>8.5</v>
      </c>
      <c r="AH23" s="247">
        <v>6.25</v>
      </c>
      <c r="AI23" s="307">
        <f t="shared" si="36"/>
        <v>8.3209365234374992</v>
      </c>
      <c r="AJ23" s="231">
        <f t="shared" si="37"/>
        <v>4.9153242187500004</v>
      </c>
      <c r="AK23" s="234">
        <v>9.25</v>
      </c>
      <c r="AL23" s="247">
        <v>6.5</v>
      </c>
      <c r="AM23" s="312">
        <f t="shared" si="7"/>
        <v>6.8141865234374999</v>
      </c>
      <c r="AN23" s="231">
        <f t="shared" si="8"/>
        <v>4.0543242187499997</v>
      </c>
      <c r="AO23" s="234">
        <v>11.5</v>
      </c>
      <c r="AP23" s="247">
        <v>7.25</v>
      </c>
      <c r="AQ23" s="312">
        <f t="shared" si="9"/>
        <v>4.8279365234374998</v>
      </c>
      <c r="AR23" s="231">
        <f t="shared" si="10"/>
        <v>2.9193242187499999</v>
      </c>
      <c r="AS23" s="234">
        <v>16.5</v>
      </c>
      <c r="AT23" s="247">
        <v>9</v>
      </c>
      <c r="AU23" s="312">
        <f t="shared" si="11"/>
        <v>10.086686523437498</v>
      </c>
      <c r="AV23" s="231">
        <f t="shared" si="12"/>
        <v>5.9243242187499998</v>
      </c>
      <c r="AW23" s="234">
        <v>7.5</v>
      </c>
      <c r="AX23" s="247">
        <v>5.75</v>
      </c>
      <c r="AY23" s="345" t="s">
        <v>40</v>
      </c>
      <c r="AZ23" s="381">
        <f t="shared" si="13"/>
        <v>9.0625</v>
      </c>
      <c r="BA23" s="239">
        <f t="shared" si="14"/>
        <v>9</v>
      </c>
      <c r="BB23" s="239">
        <f t="shared" si="15"/>
        <v>10</v>
      </c>
      <c r="BC23" s="239">
        <f t="shared" si="16"/>
        <v>10</v>
      </c>
      <c r="BD23" s="239">
        <f t="shared" si="17"/>
        <v>9</v>
      </c>
      <c r="BE23" s="239">
        <f t="shared" si="18"/>
        <v>8</v>
      </c>
      <c r="BF23" s="239">
        <f t="shared" si="19"/>
        <v>10</v>
      </c>
      <c r="BG23" s="232">
        <v>0.3977614729710478</v>
      </c>
      <c r="BH23" s="232">
        <f t="shared" si="20"/>
        <v>0.67</v>
      </c>
      <c r="BI23" s="411">
        <f>VLOOKUP($AY23,'Bar Sizes'!$D$26:$F$36,3,FALSE)</f>
        <v>0.2</v>
      </c>
      <c r="BJ23" s="381">
        <f t="shared" si="38"/>
        <v>4.25</v>
      </c>
      <c r="BK23" s="401">
        <f t="shared" si="21"/>
        <v>9.0344827586206886</v>
      </c>
      <c r="BL23" s="401">
        <f t="shared" si="22"/>
        <v>10.482758620689655</v>
      </c>
      <c r="BM23" s="401">
        <f t="shared" si="23"/>
        <v>10.068965572413791</v>
      </c>
      <c r="BN23" s="401">
        <f t="shared" si="24"/>
        <v>9.5172413793103452</v>
      </c>
      <c r="BO23" s="401">
        <f t="shared" si="25"/>
        <v>8.2758620689655178</v>
      </c>
      <c r="BP23" s="401">
        <f t="shared" si="26"/>
        <v>11.172413793103448</v>
      </c>
      <c r="BR23" s="464">
        <f t="shared" si="39"/>
        <v>0.67</v>
      </c>
      <c r="BS23" s="464">
        <f t="shared" si="40"/>
        <v>0.67</v>
      </c>
      <c r="BT23" s="464">
        <f t="shared" si="41"/>
        <v>0.67</v>
      </c>
      <c r="BU23" s="464">
        <f t="shared" si="42"/>
        <v>0.67</v>
      </c>
      <c r="BV23" s="464">
        <f t="shared" si="43"/>
        <v>0.67</v>
      </c>
      <c r="BW23" s="464">
        <f t="shared" si="44"/>
        <v>0.67</v>
      </c>
      <c r="BX23" s="430"/>
      <c r="BY23" s="461">
        <f t="shared" si="45"/>
        <v>8.1875</v>
      </c>
      <c r="BZ23" s="461">
        <f t="shared" si="46"/>
        <v>8.5</v>
      </c>
      <c r="CA23" s="461">
        <f t="shared" si="47"/>
        <v>8.125</v>
      </c>
      <c r="CB23" s="461">
        <f t="shared" si="48"/>
        <v>8.625</v>
      </c>
      <c r="CC23" s="461">
        <f t="shared" si="49"/>
        <v>8.625</v>
      </c>
      <c r="CD23" s="461">
        <f t="shared" si="50"/>
        <v>9</v>
      </c>
      <c r="CE23" s="430"/>
      <c r="CF23" s="430"/>
      <c r="CH23" t="s">
        <v>218</v>
      </c>
    </row>
    <row r="24" spans="3:86" x14ac:dyDescent="0.2">
      <c r="C24" s="267">
        <v>7.5</v>
      </c>
      <c r="D24" s="359">
        <v>5.44</v>
      </c>
      <c r="E24" s="334">
        <v>6.26</v>
      </c>
      <c r="F24" s="232">
        <v>5.43</v>
      </c>
      <c r="G24" s="233">
        <f t="shared" si="29"/>
        <v>4.8013333333333339</v>
      </c>
      <c r="H24" s="232">
        <v>4.6100000000000003</v>
      </c>
      <c r="I24" s="233">
        <f t="shared" si="30"/>
        <v>4.4163333333333332</v>
      </c>
      <c r="J24" s="232">
        <v>3.78</v>
      </c>
      <c r="K24" s="233">
        <f t="shared" si="31"/>
        <v>3.57</v>
      </c>
      <c r="L24" s="232">
        <v>3.15</v>
      </c>
      <c r="M24" s="233">
        <f t="shared" si="0"/>
        <v>2.5149999999999997</v>
      </c>
      <c r="N24" s="232">
        <v>1.88</v>
      </c>
      <c r="O24" s="335">
        <v>1.72</v>
      </c>
      <c r="P24" s="375">
        <v>7.75</v>
      </c>
      <c r="Q24" s="371" t="s">
        <v>41</v>
      </c>
      <c r="R24" s="368" t="str">
        <f t="shared" si="51"/>
        <v># 5</v>
      </c>
      <c r="S24" s="346">
        <f t="shared" si="32"/>
        <v>0.544921875</v>
      </c>
      <c r="T24" s="347">
        <f t="shared" si="1"/>
        <v>0.544921875</v>
      </c>
      <c r="U24" s="347">
        <f t="shared" si="33"/>
        <v>0.1125</v>
      </c>
      <c r="V24" s="348">
        <f t="shared" si="2"/>
        <v>0.1125</v>
      </c>
      <c r="W24" s="312">
        <f t="shared" si="3"/>
        <v>10.369902343750001</v>
      </c>
      <c r="X24" s="320">
        <f t="shared" si="4"/>
        <v>6.0974218750000002</v>
      </c>
      <c r="Y24" s="246">
        <v>9</v>
      </c>
      <c r="Z24" s="247">
        <v>9.25</v>
      </c>
      <c r="AA24" s="307">
        <f t="shared" si="5"/>
        <v>6.3624023437500004</v>
      </c>
      <c r="AB24" s="231">
        <f t="shared" si="6"/>
        <v>3.8074218750000002</v>
      </c>
      <c r="AC24" s="234">
        <v>12.25</v>
      </c>
      <c r="AD24" s="247">
        <v>7.75</v>
      </c>
      <c r="AE24" s="307">
        <f t="shared" si="34"/>
        <v>9.2522356770833341</v>
      </c>
      <c r="AF24" s="231">
        <f t="shared" si="35"/>
        <v>5.4587552083333337</v>
      </c>
      <c r="AG24" s="234">
        <v>8.25</v>
      </c>
      <c r="AH24" s="247">
        <v>6</v>
      </c>
      <c r="AI24" s="307">
        <f t="shared" si="36"/>
        <v>8.5784856770833322</v>
      </c>
      <c r="AJ24" s="231">
        <f t="shared" si="37"/>
        <v>5.073755208333333</v>
      </c>
      <c r="AK24" s="234">
        <v>9</v>
      </c>
      <c r="AL24" s="247">
        <v>6.25</v>
      </c>
      <c r="AM24" s="312">
        <f t="shared" si="7"/>
        <v>7.0974023437499998</v>
      </c>
      <c r="AN24" s="231">
        <f t="shared" si="8"/>
        <v>4.2274218750000001</v>
      </c>
      <c r="AO24" s="234">
        <v>11</v>
      </c>
      <c r="AP24" s="247">
        <v>7.25</v>
      </c>
      <c r="AQ24" s="312">
        <f t="shared" si="9"/>
        <v>5.2511523437499994</v>
      </c>
      <c r="AR24" s="231">
        <f t="shared" si="10"/>
        <v>3.1724218749999995</v>
      </c>
      <c r="AS24" s="234">
        <v>15</v>
      </c>
      <c r="AT24" s="247">
        <v>8.75</v>
      </c>
      <c r="AU24" s="312">
        <f t="shared" si="11"/>
        <v>10.352402343749999</v>
      </c>
      <c r="AV24" s="231">
        <f t="shared" si="12"/>
        <v>6.0874218749999995</v>
      </c>
      <c r="AW24" s="234">
        <v>7.25</v>
      </c>
      <c r="AX24" s="247">
        <v>5.5</v>
      </c>
      <c r="AY24" s="345" t="s">
        <v>40</v>
      </c>
      <c r="AZ24" s="381">
        <f t="shared" si="13"/>
        <v>8.8125</v>
      </c>
      <c r="BA24" s="239">
        <f t="shared" si="14"/>
        <v>9</v>
      </c>
      <c r="BB24" s="239">
        <f t="shared" si="15"/>
        <v>10</v>
      </c>
      <c r="BC24" s="239">
        <f t="shared" si="16"/>
        <v>10</v>
      </c>
      <c r="BD24" s="239">
        <f t="shared" si="17"/>
        <v>10</v>
      </c>
      <c r="BE24" s="239">
        <f t="shared" si="18"/>
        <v>9</v>
      </c>
      <c r="BF24" s="239">
        <f t="shared" si="19"/>
        <v>11</v>
      </c>
      <c r="BG24" s="232">
        <v>0.40880997198101193</v>
      </c>
      <c r="BH24" s="232">
        <f t="shared" si="20"/>
        <v>0.67</v>
      </c>
      <c r="BI24" s="411">
        <f>VLOOKUP($AY24,'Bar Sizes'!$D$26:$F$36,3,FALSE)</f>
        <v>0.2</v>
      </c>
      <c r="BJ24" s="381">
        <f t="shared" si="38"/>
        <v>4.25</v>
      </c>
      <c r="BK24" s="401">
        <f t="shared" si="21"/>
        <v>9.4482758620689644</v>
      </c>
      <c r="BL24" s="401">
        <f t="shared" si="22"/>
        <v>10.896551724137931</v>
      </c>
      <c r="BM24" s="401">
        <f t="shared" si="23"/>
        <v>10.482758675862069</v>
      </c>
      <c r="BN24" s="401">
        <f t="shared" si="24"/>
        <v>9.931034482758621</v>
      </c>
      <c r="BO24" s="401">
        <f t="shared" si="25"/>
        <v>8.6896551724137936</v>
      </c>
      <c r="BP24" s="401">
        <f t="shared" si="26"/>
        <v>11.586206896551724</v>
      </c>
      <c r="BR24" s="464">
        <f t="shared" si="39"/>
        <v>0.67</v>
      </c>
      <c r="BS24" s="464">
        <f t="shared" si="40"/>
        <v>0.67</v>
      </c>
      <c r="BT24" s="464">
        <f t="shared" si="41"/>
        <v>0.67</v>
      </c>
      <c r="BU24" s="464">
        <f t="shared" si="42"/>
        <v>0.67</v>
      </c>
      <c r="BV24" s="464">
        <f t="shared" si="43"/>
        <v>0.67</v>
      </c>
      <c r="BW24" s="464">
        <f t="shared" si="44"/>
        <v>0.67</v>
      </c>
      <c r="BX24" s="430"/>
      <c r="BY24" s="461">
        <f t="shared" si="45"/>
        <v>8.5625</v>
      </c>
      <c r="BZ24" s="461">
        <f t="shared" si="46"/>
        <v>8.8125</v>
      </c>
      <c r="CA24" s="461">
        <f t="shared" si="47"/>
        <v>8.5</v>
      </c>
      <c r="CB24" s="461">
        <f t="shared" si="48"/>
        <v>8</v>
      </c>
      <c r="CC24" s="461">
        <f t="shared" si="49"/>
        <v>7.875</v>
      </c>
      <c r="CD24" s="461">
        <f t="shared" si="50"/>
        <v>8.4375</v>
      </c>
      <c r="CE24" s="430"/>
      <c r="CF24" s="430"/>
    </row>
    <row r="25" spans="3:86" x14ac:dyDescent="0.2">
      <c r="C25" s="267">
        <v>7.75</v>
      </c>
      <c r="D25" s="359">
        <v>5.56</v>
      </c>
      <c r="E25" s="334">
        <v>6.38</v>
      </c>
      <c r="F25" s="232">
        <v>5.54</v>
      </c>
      <c r="G25" s="233">
        <f t="shared" si="29"/>
        <v>4.9036666666666671</v>
      </c>
      <c r="H25" s="232">
        <v>4.71</v>
      </c>
      <c r="I25" s="233">
        <f t="shared" si="30"/>
        <v>4.5163333333333329</v>
      </c>
      <c r="J25" s="232">
        <v>3.88</v>
      </c>
      <c r="K25" s="233">
        <f t="shared" si="31"/>
        <v>3.6866666666666665</v>
      </c>
      <c r="L25" s="232">
        <v>3.3</v>
      </c>
      <c r="M25" s="233">
        <f t="shared" si="0"/>
        <v>2.7549999999999999</v>
      </c>
      <c r="N25" s="232">
        <v>2.21</v>
      </c>
      <c r="O25" s="335">
        <v>1.94</v>
      </c>
      <c r="P25" s="375">
        <v>7.75</v>
      </c>
      <c r="Q25" s="371" t="s">
        <v>41</v>
      </c>
      <c r="R25" s="368" t="str">
        <f t="shared" si="51"/>
        <v># 5</v>
      </c>
      <c r="S25" s="346">
        <f t="shared" si="32"/>
        <v>0.58185546875000005</v>
      </c>
      <c r="T25" s="347">
        <f t="shared" si="1"/>
        <v>0.58185546875000005</v>
      </c>
      <c r="U25" s="347">
        <f t="shared" si="33"/>
        <v>0.120125</v>
      </c>
      <c r="V25" s="348">
        <f t="shared" si="2"/>
        <v>0.120125</v>
      </c>
      <c r="W25" s="312">
        <f t="shared" si="3"/>
        <v>10.637506835937499</v>
      </c>
      <c r="X25" s="320">
        <f t="shared" si="4"/>
        <v>6.26198046875</v>
      </c>
      <c r="Y25" s="246">
        <v>8.75</v>
      </c>
      <c r="Z25" s="247">
        <v>9</v>
      </c>
      <c r="AA25" s="307">
        <f t="shared" si="5"/>
        <v>6.6825068359374997</v>
      </c>
      <c r="AB25" s="231">
        <f t="shared" si="6"/>
        <v>4.0019804687500002</v>
      </c>
      <c r="AC25" s="234">
        <v>11.75</v>
      </c>
      <c r="AD25" s="247">
        <v>7.5</v>
      </c>
      <c r="AE25" s="307">
        <f t="shared" si="34"/>
        <v>9.4889235026041678</v>
      </c>
      <c r="AF25" s="231">
        <f t="shared" si="35"/>
        <v>5.6056471354166675</v>
      </c>
      <c r="AG25" s="234">
        <v>8</v>
      </c>
      <c r="AH25" s="247">
        <v>6</v>
      </c>
      <c r="AI25" s="307">
        <f t="shared" si="36"/>
        <v>8.8110901692708321</v>
      </c>
      <c r="AJ25" s="231">
        <f t="shared" si="37"/>
        <v>5.2183138020833333</v>
      </c>
      <c r="AK25" s="234">
        <v>8.75</v>
      </c>
      <c r="AL25" s="247">
        <v>6.25</v>
      </c>
      <c r="AM25" s="312">
        <f t="shared" si="7"/>
        <v>7.3591735026041665</v>
      </c>
      <c r="AN25" s="231">
        <f t="shared" si="8"/>
        <v>4.388647135416667</v>
      </c>
      <c r="AO25" s="234">
        <v>10.5</v>
      </c>
      <c r="AP25" s="247">
        <v>7</v>
      </c>
      <c r="AQ25" s="312">
        <f t="shared" si="9"/>
        <v>5.7287568359375003</v>
      </c>
      <c r="AR25" s="231">
        <f t="shared" si="10"/>
        <v>3.4569804687499999</v>
      </c>
      <c r="AS25" s="234">
        <v>13.75</v>
      </c>
      <c r="AT25" s="247">
        <v>8.25</v>
      </c>
      <c r="AU25" s="312">
        <f t="shared" si="11"/>
        <v>10.602506835937501</v>
      </c>
      <c r="AV25" s="231">
        <f t="shared" si="12"/>
        <v>6.2419804687500005</v>
      </c>
      <c r="AW25" s="234">
        <v>7</v>
      </c>
      <c r="AX25" s="247">
        <v>5.5</v>
      </c>
      <c r="AY25" s="345" t="s">
        <v>40</v>
      </c>
      <c r="AZ25" s="381">
        <f t="shared" si="13"/>
        <v>8.5625</v>
      </c>
      <c r="BA25" s="239">
        <f t="shared" si="14"/>
        <v>10</v>
      </c>
      <c r="BB25" s="239">
        <f t="shared" si="15"/>
        <v>11</v>
      </c>
      <c r="BC25" s="239">
        <f t="shared" si="16"/>
        <v>11</v>
      </c>
      <c r="BD25" s="239">
        <f t="shared" si="17"/>
        <v>10</v>
      </c>
      <c r="BE25" s="239">
        <f t="shared" si="18"/>
        <v>9</v>
      </c>
      <c r="BF25" s="239">
        <f t="shared" si="19"/>
        <v>12</v>
      </c>
      <c r="BG25" s="232">
        <v>0.41997110652328179</v>
      </c>
      <c r="BH25" s="232">
        <f t="shared" si="20"/>
        <v>0.67</v>
      </c>
      <c r="BI25" s="411">
        <f>VLOOKUP($AY25,'Bar Sizes'!$D$26:$F$36,3,FALSE)</f>
        <v>0.2</v>
      </c>
      <c r="BJ25" s="381">
        <f t="shared" si="38"/>
        <v>4.25</v>
      </c>
      <c r="BK25" s="401">
        <f t="shared" si="21"/>
        <v>9.8620689655172402</v>
      </c>
      <c r="BL25" s="401">
        <f t="shared" si="22"/>
        <v>11.310344827586206</v>
      </c>
      <c r="BM25" s="401">
        <f t="shared" si="23"/>
        <v>10.896551779310345</v>
      </c>
      <c r="BN25" s="401">
        <f t="shared" si="24"/>
        <v>10.344827586206897</v>
      </c>
      <c r="BO25" s="401">
        <f t="shared" si="25"/>
        <v>9.1034482758620676</v>
      </c>
      <c r="BP25" s="401">
        <f t="shared" si="26"/>
        <v>12</v>
      </c>
      <c r="BR25" s="464">
        <f t="shared" si="39"/>
        <v>0.67</v>
      </c>
      <c r="BS25" s="464">
        <f t="shared" si="40"/>
        <v>0.67</v>
      </c>
      <c r="BT25" s="464">
        <f t="shared" si="41"/>
        <v>0.67</v>
      </c>
      <c r="BU25" s="464">
        <f t="shared" si="42"/>
        <v>0.67</v>
      </c>
      <c r="BV25" s="464">
        <f t="shared" si="43"/>
        <v>0.67</v>
      </c>
      <c r="BW25" s="464">
        <f t="shared" si="44"/>
        <v>0.67</v>
      </c>
      <c r="BX25" s="430"/>
      <c r="BY25" s="461">
        <f t="shared" si="45"/>
        <v>8</v>
      </c>
      <c r="BZ25" s="461">
        <f t="shared" si="46"/>
        <v>8.25</v>
      </c>
      <c r="CA25" s="461">
        <f t="shared" si="47"/>
        <v>7.9375</v>
      </c>
      <c r="CB25" s="461">
        <f t="shared" si="48"/>
        <v>8.375</v>
      </c>
      <c r="CC25" s="461">
        <f t="shared" si="49"/>
        <v>8.25</v>
      </c>
      <c r="CD25" s="461">
        <f t="shared" si="50"/>
        <v>7.9375</v>
      </c>
      <c r="CE25" s="430"/>
      <c r="CF25" s="430"/>
      <c r="CH25" t="s">
        <v>219</v>
      </c>
    </row>
    <row r="26" spans="3:86" x14ac:dyDescent="0.2">
      <c r="C26" s="267">
        <v>8</v>
      </c>
      <c r="D26" s="359">
        <v>5.69</v>
      </c>
      <c r="E26" s="334">
        <v>6.48</v>
      </c>
      <c r="F26" s="232">
        <v>5.65</v>
      </c>
      <c r="G26" s="233">
        <f t="shared" si="29"/>
        <v>5.0060000000000002</v>
      </c>
      <c r="H26" s="232">
        <v>4.8099999999999996</v>
      </c>
      <c r="I26" s="233">
        <f t="shared" si="30"/>
        <v>4.6163333333333334</v>
      </c>
      <c r="J26" s="232">
        <v>3.98</v>
      </c>
      <c r="K26" s="233">
        <f t="shared" si="31"/>
        <v>3.7966666666666669</v>
      </c>
      <c r="L26" s="232">
        <v>3.43</v>
      </c>
      <c r="M26" s="233">
        <f t="shared" si="0"/>
        <v>2.96</v>
      </c>
      <c r="N26" s="232">
        <v>2.4900000000000002</v>
      </c>
      <c r="O26" s="335">
        <v>2.16</v>
      </c>
      <c r="P26" s="375">
        <v>7.75</v>
      </c>
      <c r="Q26" s="371" t="s">
        <v>41</v>
      </c>
      <c r="R26" s="368" t="str">
        <f t="shared" si="51"/>
        <v># 5</v>
      </c>
      <c r="S26" s="346">
        <f t="shared" si="32"/>
        <v>0.62</v>
      </c>
      <c r="T26" s="347">
        <f t="shared" si="1"/>
        <v>0.62</v>
      </c>
      <c r="U26" s="347">
        <f t="shared" si="33"/>
        <v>0.128</v>
      </c>
      <c r="V26" s="348">
        <f t="shared" si="2"/>
        <v>0.128</v>
      </c>
      <c r="W26" s="312">
        <f t="shared" si="3"/>
        <v>10.924500000000002</v>
      </c>
      <c r="X26" s="320">
        <f t="shared" si="4"/>
        <v>6.4380000000000006</v>
      </c>
      <c r="Y26" s="246">
        <v>8.5</v>
      </c>
      <c r="Z26" s="247">
        <v>8.75</v>
      </c>
      <c r="AA26" s="307">
        <f t="shared" si="5"/>
        <v>6.9695</v>
      </c>
      <c r="AB26" s="231">
        <f t="shared" si="6"/>
        <v>4.1779999999999999</v>
      </c>
      <c r="AC26" s="234">
        <v>11.25</v>
      </c>
      <c r="AD26" s="247">
        <v>7.25</v>
      </c>
      <c r="AE26" s="307">
        <f t="shared" si="34"/>
        <v>9.7275000000000009</v>
      </c>
      <c r="AF26" s="231">
        <f t="shared" si="35"/>
        <v>5.7540000000000004</v>
      </c>
      <c r="AG26" s="234">
        <v>7.75</v>
      </c>
      <c r="AH26" s="247">
        <v>5.75</v>
      </c>
      <c r="AI26" s="307">
        <f t="shared" si="36"/>
        <v>9.0455833333333349</v>
      </c>
      <c r="AJ26" s="231">
        <f t="shared" si="37"/>
        <v>5.3643333333333336</v>
      </c>
      <c r="AK26" s="234">
        <v>8.5</v>
      </c>
      <c r="AL26" s="247">
        <v>6</v>
      </c>
      <c r="AM26" s="312">
        <f t="shared" si="7"/>
        <v>7.6111666666666675</v>
      </c>
      <c r="AN26" s="231">
        <f t="shared" si="8"/>
        <v>4.5446666666666671</v>
      </c>
      <c r="AO26" s="234">
        <v>10.25</v>
      </c>
      <c r="AP26" s="247">
        <v>6.75</v>
      </c>
      <c r="AQ26" s="312">
        <f t="shared" si="9"/>
        <v>6.1470000000000002</v>
      </c>
      <c r="AR26" s="231">
        <f t="shared" si="10"/>
        <v>3.7080000000000002</v>
      </c>
      <c r="AS26" s="234">
        <v>12.75</v>
      </c>
      <c r="AT26" s="247">
        <v>7.75</v>
      </c>
      <c r="AU26" s="312">
        <f t="shared" si="11"/>
        <v>10.854500000000002</v>
      </c>
      <c r="AV26" s="231">
        <f t="shared" si="12"/>
        <v>6.3980000000000006</v>
      </c>
      <c r="AW26" s="234">
        <v>7</v>
      </c>
      <c r="AX26" s="247">
        <v>5.5</v>
      </c>
      <c r="AY26" s="345" t="s">
        <v>40</v>
      </c>
      <c r="AZ26" s="381">
        <f t="shared" si="13"/>
        <v>8.3125</v>
      </c>
      <c r="BA26" s="239">
        <f t="shared" si="14"/>
        <v>10</v>
      </c>
      <c r="BB26" s="239">
        <f t="shared" si="15"/>
        <v>12</v>
      </c>
      <c r="BC26" s="239">
        <f t="shared" si="16"/>
        <v>11</v>
      </c>
      <c r="BD26" s="239">
        <f t="shared" si="17"/>
        <v>11</v>
      </c>
      <c r="BE26" s="239">
        <f t="shared" si="18"/>
        <v>10</v>
      </c>
      <c r="BF26" s="239">
        <f t="shared" si="19"/>
        <v>12</v>
      </c>
      <c r="BG26" s="232">
        <v>0.4319792909576386</v>
      </c>
      <c r="BH26" s="232">
        <f t="shared" si="20"/>
        <v>0.67</v>
      </c>
      <c r="BI26" s="411">
        <f>VLOOKUP($AY26,'Bar Sizes'!$D$26:$F$36,3,FALSE)</f>
        <v>0.2</v>
      </c>
      <c r="BJ26" s="381">
        <f t="shared" si="38"/>
        <v>4.25</v>
      </c>
      <c r="BK26" s="401">
        <f t="shared" si="21"/>
        <v>10.275862068965518</v>
      </c>
      <c r="BL26" s="401">
        <f t="shared" si="22"/>
        <v>11.724137931034482</v>
      </c>
      <c r="BM26" s="401">
        <f t="shared" si="23"/>
        <v>11.310344882758621</v>
      </c>
      <c r="BN26" s="401">
        <f t="shared" si="24"/>
        <v>10.758620689655173</v>
      </c>
      <c r="BO26" s="401">
        <f t="shared" si="25"/>
        <v>9.5172413793103452</v>
      </c>
      <c r="BP26" s="401">
        <f t="shared" si="26"/>
        <v>12.413793103448278</v>
      </c>
      <c r="BR26" s="464">
        <f t="shared" si="39"/>
        <v>0.67</v>
      </c>
      <c r="BS26" s="464">
        <f t="shared" si="40"/>
        <v>0.67</v>
      </c>
      <c r="BT26" s="464">
        <f t="shared" si="41"/>
        <v>0.67</v>
      </c>
      <c r="BU26" s="464">
        <f t="shared" si="42"/>
        <v>0.67</v>
      </c>
      <c r="BV26" s="464">
        <f t="shared" si="43"/>
        <v>0.67</v>
      </c>
      <c r="BW26" s="464">
        <f t="shared" si="44"/>
        <v>0.67</v>
      </c>
      <c r="BX26" s="430"/>
      <c r="BY26" s="461">
        <f t="shared" si="45"/>
        <v>8.3125</v>
      </c>
      <c r="BZ26" s="461">
        <f t="shared" si="46"/>
        <v>7.75</v>
      </c>
      <c r="CA26" s="461">
        <f t="shared" si="47"/>
        <v>8.25</v>
      </c>
      <c r="CB26" s="461">
        <f t="shared" si="48"/>
        <v>7.8125</v>
      </c>
      <c r="CC26" s="461">
        <f t="shared" si="49"/>
        <v>7.6875</v>
      </c>
      <c r="CD26" s="461">
        <f t="shared" si="50"/>
        <v>8.1875</v>
      </c>
      <c r="CE26" s="430"/>
      <c r="CF26" s="430"/>
    </row>
    <row r="27" spans="3:86" x14ac:dyDescent="0.2">
      <c r="C27" s="267">
        <v>8.25</v>
      </c>
      <c r="D27" s="359">
        <v>5.83</v>
      </c>
      <c r="E27" s="334">
        <v>6.58</v>
      </c>
      <c r="F27" s="232">
        <v>5.74</v>
      </c>
      <c r="G27" s="233">
        <f t="shared" si="29"/>
        <v>5.0960000000000001</v>
      </c>
      <c r="H27" s="232">
        <v>4.9000000000000004</v>
      </c>
      <c r="I27" s="233">
        <f t="shared" si="30"/>
        <v>4.7039999999999997</v>
      </c>
      <c r="J27" s="232">
        <v>4.0599999999999996</v>
      </c>
      <c r="K27" s="233">
        <f t="shared" si="31"/>
        <v>3.8833333333333329</v>
      </c>
      <c r="L27" s="232">
        <v>3.53</v>
      </c>
      <c r="M27" s="233">
        <f t="shared" si="0"/>
        <v>3.1349999999999998</v>
      </c>
      <c r="N27" s="232">
        <v>2.74</v>
      </c>
      <c r="O27" s="335">
        <v>2.37</v>
      </c>
      <c r="P27" s="375">
        <v>7.75</v>
      </c>
      <c r="Q27" s="371" t="s">
        <v>41</v>
      </c>
      <c r="R27" s="368" t="str">
        <f t="shared" si="51"/>
        <v># 5</v>
      </c>
      <c r="S27" s="346">
        <f t="shared" si="32"/>
        <v>0.65935546875000006</v>
      </c>
      <c r="T27" s="347">
        <f t="shared" si="1"/>
        <v>0.65935546875000006</v>
      </c>
      <c r="U27" s="347">
        <f t="shared" si="33"/>
        <v>0.136125</v>
      </c>
      <c r="V27" s="348">
        <f t="shared" si="2"/>
        <v>0.136125</v>
      </c>
      <c r="W27" s="312">
        <f t="shared" si="3"/>
        <v>11.230881835937501</v>
      </c>
      <c r="X27" s="320">
        <f t="shared" si="4"/>
        <v>6.6254804687500002</v>
      </c>
      <c r="Y27" s="246">
        <v>8.25</v>
      </c>
      <c r="Z27" s="247">
        <v>8.75</v>
      </c>
      <c r="AA27" s="307">
        <f t="shared" si="5"/>
        <v>7.2058818359374994</v>
      </c>
      <c r="AB27" s="231">
        <f t="shared" si="6"/>
        <v>4.3254804687499995</v>
      </c>
      <c r="AC27" s="234">
        <v>10.75</v>
      </c>
      <c r="AD27" s="247">
        <v>7</v>
      </c>
      <c r="AE27" s="307">
        <f t="shared" si="34"/>
        <v>9.9463818359374994</v>
      </c>
      <c r="AF27" s="231">
        <f t="shared" si="35"/>
        <v>5.8914804687500002</v>
      </c>
      <c r="AG27" s="234">
        <v>7.5</v>
      </c>
      <c r="AH27" s="247">
        <v>5.75</v>
      </c>
      <c r="AI27" s="307">
        <f t="shared" si="36"/>
        <v>9.2603818359374994</v>
      </c>
      <c r="AJ27" s="231">
        <f t="shared" si="37"/>
        <v>5.4994804687499999</v>
      </c>
      <c r="AK27" s="234">
        <v>8.25</v>
      </c>
      <c r="AL27" s="247">
        <v>6</v>
      </c>
      <c r="AM27" s="312">
        <f t="shared" si="7"/>
        <v>7.8242151692708326</v>
      </c>
      <c r="AN27" s="231">
        <f t="shared" si="8"/>
        <v>4.678813802083333</v>
      </c>
      <c r="AO27" s="234">
        <v>9.75</v>
      </c>
      <c r="AP27" s="247">
        <v>6.75</v>
      </c>
      <c r="AQ27" s="312">
        <f t="shared" si="9"/>
        <v>6.5146318359375002</v>
      </c>
      <c r="AR27" s="231">
        <f t="shared" si="10"/>
        <v>3.9304804687499999</v>
      </c>
      <c r="AS27" s="234">
        <v>12</v>
      </c>
      <c r="AT27" s="247">
        <v>7.5</v>
      </c>
      <c r="AU27" s="312">
        <f t="shared" si="11"/>
        <v>11.0733818359375</v>
      </c>
      <c r="AV27" s="231">
        <f t="shared" si="12"/>
        <v>6.5354804687500003</v>
      </c>
      <c r="AW27" s="234">
        <v>6.75</v>
      </c>
      <c r="AX27" s="247">
        <v>5.25</v>
      </c>
      <c r="AY27" s="345" t="s">
        <v>40</v>
      </c>
      <c r="AZ27" s="381">
        <f t="shared" si="13"/>
        <v>8.0625</v>
      </c>
      <c r="BA27" s="239">
        <f t="shared" si="14"/>
        <v>11</v>
      </c>
      <c r="BB27" s="239">
        <f t="shared" si="15"/>
        <v>12</v>
      </c>
      <c r="BC27" s="239">
        <f t="shared" si="16"/>
        <v>12</v>
      </c>
      <c r="BD27" s="239">
        <f t="shared" si="17"/>
        <v>12</v>
      </c>
      <c r="BE27" s="239">
        <f t="shared" si="18"/>
        <v>10</v>
      </c>
      <c r="BF27" s="239">
        <f t="shared" si="19"/>
        <v>13</v>
      </c>
      <c r="BG27" s="232">
        <v>0.44484301887478006</v>
      </c>
      <c r="BH27" s="232">
        <f t="shared" si="20"/>
        <v>0.67</v>
      </c>
      <c r="BI27" s="411">
        <f>VLOOKUP($AY27,'Bar Sizes'!$D$26:$F$36,3,FALSE)</f>
        <v>0.2</v>
      </c>
      <c r="BJ27" s="381">
        <f t="shared" si="38"/>
        <v>4.25</v>
      </c>
      <c r="BK27" s="401">
        <f t="shared" si="21"/>
        <v>10.689655172413794</v>
      </c>
      <c r="BL27" s="401">
        <f t="shared" si="22"/>
        <v>12.137931034482758</v>
      </c>
      <c r="BM27" s="401">
        <f t="shared" si="23"/>
        <v>11.724137986206896</v>
      </c>
      <c r="BN27" s="401">
        <f t="shared" si="24"/>
        <v>11.172413793103448</v>
      </c>
      <c r="BO27" s="401">
        <f t="shared" si="25"/>
        <v>9.931034482758621</v>
      </c>
      <c r="BP27" s="401">
        <f t="shared" si="26"/>
        <v>12.827586206896552</v>
      </c>
      <c r="BR27" s="464">
        <f t="shared" si="39"/>
        <v>0.67</v>
      </c>
      <c r="BS27" s="464">
        <f t="shared" si="40"/>
        <v>0.67</v>
      </c>
      <c r="BT27" s="464">
        <f t="shared" si="41"/>
        <v>0.67</v>
      </c>
      <c r="BU27" s="464">
        <f t="shared" si="42"/>
        <v>0.67</v>
      </c>
      <c r="BV27" s="464">
        <f t="shared" si="43"/>
        <v>0.67</v>
      </c>
      <c r="BW27" s="464">
        <f t="shared" si="44"/>
        <v>0.67</v>
      </c>
      <c r="BX27" s="430"/>
      <c r="BY27" s="461">
        <f t="shared" si="45"/>
        <v>7.75</v>
      </c>
      <c r="BZ27" s="461">
        <f t="shared" si="46"/>
        <v>8</v>
      </c>
      <c r="CA27" s="461">
        <f t="shared" si="47"/>
        <v>7.75</v>
      </c>
      <c r="CB27" s="461">
        <f t="shared" si="48"/>
        <v>7.375</v>
      </c>
      <c r="CC27" s="461">
        <f t="shared" si="49"/>
        <v>8</v>
      </c>
      <c r="CD27" s="461">
        <f t="shared" si="50"/>
        <v>7.75</v>
      </c>
      <c r="CE27" s="430"/>
      <c r="CF27" s="430"/>
      <c r="CH27" t="s">
        <v>220</v>
      </c>
    </row>
    <row r="28" spans="3:86" x14ac:dyDescent="0.2">
      <c r="C28" s="267">
        <v>8.5</v>
      </c>
      <c r="D28" s="359">
        <v>5.99</v>
      </c>
      <c r="E28" s="334">
        <v>6.66</v>
      </c>
      <c r="F28" s="232">
        <v>5.82</v>
      </c>
      <c r="G28" s="233">
        <f t="shared" si="29"/>
        <v>5.1760000000000002</v>
      </c>
      <c r="H28" s="232">
        <v>4.9800000000000004</v>
      </c>
      <c r="I28" s="233">
        <f t="shared" si="30"/>
        <v>4.7839999999999998</v>
      </c>
      <c r="J28" s="232">
        <v>4.1399999999999997</v>
      </c>
      <c r="K28" s="233">
        <f t="shared" si="31"/>
        <v>3.9633333333333329</v>
      </c>
      <c r="L28" s="232">
        <v>3.61</v>
      </c>
      <c r="M28" s="233">
        <f t="shared" si="0"/>
        <v>3.2850000000000001</v>
      </c>
      <c r="N28" s="232">
        <v>2.96</v>
      </c>
      <c r="O28" s="335">
        <v>2.58</v>
      </c>
      <c r="P28" s="375">
        <v>7.75</v>
      </c>
      <c r="Q28" s="371" t="s">
        <v>41</v>
      </c>
      <c r="R28" s="368" t="str">
        <f t="shared" si="51"/>
        <v># 5</v>
      </c>
      <c r="S28" s="346">
        <f t="shared" si="32"/>
        <v>0.69992187500000014</v>
      </c>
      <c r="T28" s="347">
        <f t="shared" si="1"/>
        <v>0.69992187500000014</v>
      </c>
      <c r="U28" s="347">
        <f t="shared" si="33"/>
        <v>0.14449999999999999</v>
      </c>
      <c r="V28" s="348">
        <f t="shared" si="2"/>
        <v>0.14449999999999999</v>
      </c>
      <c r="W28" s="312">
        <f t="shared" si="3"/>
        <v>11.574152343750001</v>
      </c>
      <c r="X28" s="320">
        <f t="shared" si="4"/>
        <v>6.8344218750000003</v>
      </c>
      <c r="Y28" s="246">
        <v>8</v>
      </c>
      <c r="Z28" s="247">
        <v>8.5</v>
      </c>
      <c r="AA28" s="307">
        <f t="shared" si="5"/>
        <v>7.4091523437499998</v>
      </c>
      <c r="AB28" s="231">
        <f t="shared" si="6"/>
        <v>4.4544218749999995</v>
      </c>
      <c r="AC28" s="234">
        <v>10.5</v>
      </c>
      <c r="AD28" s="247">
        <v>7</v>
      </c>
      <c r="AE28" s="307">
        <f t="shared" si="34"/>
        <v>10.149652343750001</v>
      </c>
      <c r="AF28" s="231">
        <f t="shared" si="35"/>
        <v>6.0204218750000003</v>
      </c>
      <c r="AG28" s="234">
        <v>7.5</v>
      </c>
      <c r="AH28" s="247">
        <v>5.5</v>
      </c>
      <c r="AI28" s="307">
        <f t="shared" si="36"/>
        <v>9.4636523437500006</v>
      </c>
      <c r="AJ28" s="231">
        <f t="shared" si="37"/>
        <v>5.6284218749999999</v>
      </c>
      <c r="AK28" s="234">
        <v>8</v>
      </c>
      <c r="AL28" s="247">
        <v>6</v>
      </c>
      <c r="AM28" s="312">
        <f t="shared" si="7"/>
        <v>8.0274856770833338</v>
      </c>
      <c r="AN28" s="231">
        <f t="shared" si="8"/>
        <v>4.807755208333333</v>
      </c>
      <c r="AO28" s="234">
        <v>9.5</v>
      </c>
      <c r="AP28" s="247">
        <v>6.5</v>
      </c>
      <c r="AQ28" s="312">
        <f t="shared" si="9"/>
        <v>6.8404023437500001</v>
      </c>
      <c r="AR28" s="231">
        <f t="shared" si="10"/>
        <v>4.1294218750000002</v>
      </c>
      <c r="AS28" s="234">
        <v>11.5</v>
      </c>
      <c r="AT28" s="247">
        <v>7.25</v>
      </c>
      <c r="AU28" s="312">
        <f t="shared" si="11"/>
        <v>11.276652343750001</v>
      </c>
      <c r="AV28" s="231">
        <f t="shared" si="12"/>
        <v>6.6644218750000004</v>
      </c>
      <c r="AW28" s="234">
        <v>6.5</v>
      </c>
      <c r="AX28" s="247">
        <v>5.25</v>
      </c>
      <c r="AY28" s="345" t="s">
        <v>40</v>
      </c>
      <c r="AZ28" s="381">
        <f t="shared" si="13"/>
        <v>7.8125</v>
      </c>
      <c r="BA28" s="239">
        <f t="shared" si="14"/>
        <v>12</v>
      </c>
      <c r="BB28" s="239">
        <f t="shared" si="15"/>
        <v>13</v>
      </c>
      <c r="BC28" s="239">
        <f t="shared" si="16"/>
        <v>13</v>
      </c>
      <c r="BD28" s="239">
        <f t="shared" si="17"/>
        <v>12</v>
      </c>
      <c r="BE28" s="239">
        <f t="shared" si="18"/>
        <v>11</v>
      </c>
      <c r="BF28" s="239">
        <f t="shared" si="19"/>
        <v>14</v>
      </c>
      <c r="BG28" s="232">
        <v>0.45931048456997847</v>
      </c>
      <c r="BH28" s="232">
        <f t="shared" si="20"/>
        <v>0.67</v>
      </c>
      <c r="BI28" s="411">
        <f>VLOOKUP($AY28,'Bar Sizes'!$D$26:$F$36,3,FALSE)</f>
        <v>0.2</v>
      </c>
      <c r="BJ28" s="381">
        <f t="shared" si="38"/>
        <v>4.25</v>
      </c>
      <c r="BK28" s="401">
        <f t="shared" si="21"/>
        <v>11.103448275862068</v>
      </c>
      <c r="BL28" s="401">
        <f t="shared" si="22"/>
        <v>12.551724137931034</v>
      </c>
      <c r="BM28" s="401">
        <f t="shared" si="23"/>
        <v>12.137931089655172</v>
      </c>
      <c r="BN28" s="401">
        <f t="shared" si="24"/>
        <v>11.586206896551724</v>
      </c>
      <c r="BO28" s="401">
        <f t="shared" si="25"/>
        <v>10.344827586206897</v>
      </c>
      <c r="BP28" s="401">
        <f t="shared" si="26"/>
        <v>13.241379310344827</v>
      </c>
      <c r="BR28" s="464">
        <f t="shared" si="39"/>
        <v>0.67</v>
      </c>
      <c r="BS28" s="464">
        <f t="shared" si="40"/>
        <v>0.67</v>
      </c>
      <c r="BT28" s="464">
        <f t="shared" si="41"/>
        <v>0.67</v>
      </c>
      <c r="BU28" s="464">
        <f t="shared" si="42"/>
        <v>0.67</v>
      </c>
      <c r="BV28" s="464">
        <f t="shared" si="43"/>
        <v>0.67</v>
      </c>
      <c r="BW28" s="464">
        <f t="shared" si="44"/>
        <v>0.67</v>
      </c>
      <c r="BX28" s="430"/>
      <c r="BY28" s="461">
        <f t="shared" si="45"/>
        <v>7.375</v>
      </c>
      <c r="BZ28" s="461">
        <f t="shared" si="46"/>
        <v>7.625</v>
      </c>
      <c r="CA28" s="461">
        <f t="shared" si="47"/>
        <v>7.375</v>
      </c>
      <c r="CB28" s="461">
        <f t="shared" si="48"/>
        <v>7.6875</v>
      </c>
      <c r="CC28" s="461">
        <f t="shared" si="49"/>
        <v>7.5</v>
      </c>
      <c r="CD28" s="461">
        <f t="shared" si="50"/>
        <v>7.4375</v>
      </c>
      <c r="CE28" s="430"/>
      <c r="CF28" s="430"/>
    </row>
    <row r="29" spans="3:86" x14ac:dyDescent="0.2">
      <c r="C29" s="267">
        <v>8.75</v>
      </c>
      <c r="D29" s="359">
        <v>6.14</v>
      </c>
      <c r="E29" s="334">
        <v>6.74</v>
      </c>
      <c r="F29" s="232">
        <v>5.9</v>
      </c>
      <c r="G29" s="233">
        <f t="shared" si="29"/>
        <v>5.2560000000000002</v>
      </c>
      <c r="H29" s="232">
        <v>5.0599999999999996</v>
      </c>
      <c r="I29" s="233">
        <f t="shared" si="30"/>
        <v>4.8639999999999999</v>
      </c>
      <c r="J29" s="232">
        <v>4.22</v>
      </c>
      <c r="K29" s="233">
        <f t="shared" si="31"/>
        <v>4.0366666666666662</v>
      </c>
      <c r="L29" s="232">
        <v>3.67</v>
      </c>
      <c r="M29" s="233">
        <f t="shared" si="0"/>
        <v>3.41</v>
      </c>
      <c r="N29" s="232">
        <v>3.15</v>
      </c>
      <c r="O29" s="335">
        <v>2.79</v>
      </c>
      <c r="P29" s="375">
        <v>8</v>
      </c>
      <c r="Q29" s="371" t="s">
        <v>41</v>
      </c>
      <c r="R29" s="368" t="str">
        <f t="shared" si="51"/>
        <v># 5</v>
      </c>
      <c r="S29" s="346">
        <f t="shared" si="32"/>
        <v>0.765625</v>
      </c>
      <c r="T29" s="347">
        <f t="shared" si="1"/>
        <v>0.765625</v>
      </c>
      <c r="U29" s="347">
        <f t="shared" si="33"/>
        <v>0.15312500000000001</v>
      </c>
      <c r="V29" s="348">
        <f t="shared" si="2"/>
        <v>0.15312500000000001</v>
      </c>
      <c r="W29" s="312">
        <f t="shared" si="3"/>
        <v>11.93171875</v>
      </c>
      <c r="X29" s="320">
        <f t="shared" si="4"/>
        <v>7.0587499999999999</v>
      </c>
      <c r="Y29" s="246">
        <v>8</v>
      </c>
      <c r="Z29" s="247">
        <v>8.75</v>
      </c>
      <c r="AA29" s="307">
        <f t="shared" si="5"/>
        <v>7.6092187499999993</v>
      </c>
      <c r="AB29" s="231">
        <f t="shared" si="6"/>
        <v>4.5887500000000001</v>
      </c>
      <c r="AC29" s="234">
        <v>10.75</v>
      </c>
      <c r="AD29" s="247">
        <v>7</v>
      </c>
      <c r="AE29" s="307">
        <f t="shared" si="34"/>
        <v>10.384718750000001</v>
      </c>
      <c r="AF29" s="231">
        <f t="shared" si="35"/>
        <v>6.1747500000000004</v>
      </c>
      <c r="AG29" s="234">
        <v>7.75</v>
      </c>
      <c r="AH29" s="247">
        <v>5.75</v>
      </c>
      <c r="AI29" s="307">
        <f t="shared" si="36"/>
        <v>9.6987187500000012</v>
      </c>
      <c r="AJ29" s="231">
        <f t="shared" si="37"/>
        <v>5.7827500000000001</v>
      </c>
      <c r="AK29" s="234">
        <v>8.25</v>
      </c>
      <c r="AL29" s="247">
        <v>6</v>
      </c>
      <c r="AM29" s="312">
        <f t="shared" si="7"/>
        <v>8.2508854166666659</v>
      </c>
      <c r="AN29" s="231">
        <f t="shared" si="8"/>
        <v>4.9554166666666664</v>
      </c>
      <c r="AO29" s="234">
        <v>9.75</v>
      </c>
      <c r="AP29" s="247">
        <v>6.75</v>
      </c>
      <c r="AQ29" s="312">
        <f t="shared" si="9"/>
        <v>7.1542187500000001</v>
      </c>
      <c r="AR29" s="231">
        <f t="shared" si="10"/>
        <v>4.3287500000000003</v>
      </c>
      <c r="AS29" s="234">
        <v>11.5</v>
      </c>
      <c r="AT29" s="247">
        <v>7.5</v>
      </c>
      <c r="AU29" s="312">
        <f t="shared" si="11"/>
        <v>11.511718750000002</v>
      </c>
      <c r="AV29" s="231">
        <f t="shared" si="12"/>
        <v>6.8187500000000005</v>
      </c>
      <c r="AW29" s="234">
        <v>6.75</v>
      </c>
      <c r="AX29" s="247">
        <v>5.5</v>
      </c>
      <c r="AY29" s="345" t="s">
        <v>40</v>
      </c>
      <c r="AZ29" s="381">
        <f t="shared" si="13"/>
        <v>7.9375</v>
      </c>
      <c r="BA29" s="239">
        <f t="shared" si="14"/>
        <v>12</v>
      </c>
      <c r="BB29" s="239">
        <f t="shared" si="15"/>
        <v>13</v>
      </c>
      <c r="BC29" s="239">
        <f t="shared" si="16"/>
        <v>13</v>
      </c>
      <c r="BD29" s="239">
        <f t="shared" si="17"/>
        <v>12</v>
      </c>
      <c r="BE29" s="239">
        <f t="shared" si="18"/>
        <v>11</v>
      </c>
      <c r="BF29" s="239">
        <f t="shared" si="19"/>
        <v>14</v>
      </c>
      <c r="BG29" s="232">
        <v>0.45289939614818109</v>
      </c>
      <c r="BH29" s="232">
        <f t="shared" si="20"/>
        <v>0.67</v>
      </c>
      <c r="BI29" s="411">
        <f>VLOOKUP($AY29,'Bar Sizes'!$D$26:$F$36,3,FALSE)</f>
        <v>0.2</v>
      </c>
      <c r="BJ29" s="381">
        <f t="shared" si="38"/>
        <v>4.5</v>
      </c>
      <c r="BK29" s="401">
        <f t="shared" si="21"/>
        <v>11.133333333333333</v>
      </c>
      <c r="BL29" s="401">
        <f t="shared" si="22"/>
        <v>12.533333333333335</v>
      </c>
      <c r="BM29" s="401">
        <f t="shared" si="23"/>
        <v>12.133333386666665</v>
      </c>
      <c r="BN29" s="401">
        <f t="shared" si="24"/>
        <v>11.6</v>
      </c>
      <c r="BO29" s="401">
        <f t="shared" si="25"/>
        <v>10.4</v>
      </c>
      <c r="BP29" s="401">
        <f t="shared" si="26"/>
        <v>13.200000000000001</v>
      </c>
      <c r="BR29" s="464">
        <f t="shared" si="39"/>
        <v>0.67</v>
      </c>
      <c r="BS29" s="464">
        <f t="shared" si="40"/>
        <v>0.67</v>
      </c>
      <c r="BT29" s="464">
        <f t="shared" si="41"/>
        <v>0.67</v>
      </c>
      <c r="BU29" s="464">
        <f t="shared" si="42"/>
        <v>0.67</v>
      </c>
      <c r="BV29" s="464">
        <f t="shared" si="43"/>
        <v>0.67</v>
      </c>
      <c r="BW29" s="464">
        <f t="shared" si="44"/>
        <v>0.67</v>
      </c>
      <c r="BX29" s="430"/>
      <c r="BY29" s="461">
        <f t="shared" si="45"/>
        <v>7.625</v>
      </c>
      <c r="BZ29" s="461">
        <f t="shared" si="46"/>
        <v>7.875</v>
      </c>
      <c r="CA29" s="461">
        <f t="shared" si="47"/>
        <v>7.625</v>
      </c>
      <c r="CB29" s="461">
        <f t="shared" si="48"/>
        <v>7.9375</v>
      </c>
      <c r="CC29" s="461">
        <f t="shared" si="49"/>
        <v>7.8125</v>
      </c>
      <c r="CD29" s="461">
        <f t="shared" si="50"/>
        <v>7.625</v>
      </c>
      <c r="CE29" s="430"/>
      <c r="CF29" s="430"/>
      <c r="CH29" t="s">
        <v>221</v>
      </c>
    </row>
    <row r="30" spans="3:86" x14ac:dyDescent="0.2">
      <c r="C30" s="267">
        <v>9</v>
      </c>
      <c r="D30" s="359">
        <v>6.29</v>
      </c>
      <c r="E30" s="334">
        <v>6.81</v>
      </c>
      <c r="F30" s="232">
        <v>5.97</v>
      </c>
      <c r="G30" s="233">
        <f t="shared" si="29"/>
        <v>5.3259999999999996</v>
      </c>
      <c r="H30" s="232">
        <v>5.13</v>
      </c>
      <c r="I30" s="233">
        <f t="shared" si="30"/>
        <v>4.9316666666666666</v>
      </c>
      <c r="J30" s="232">
        <v>4.28</v>
      </c>
      <c r="K30" s="233">
        <f t="shared" si="31"/>
        <v>4.09</v>
      </c>
      <c r="L30" s="232">
        <v>3.71</v>
      </c>
      <c r="M30" s="233">
        <f t="shared" si="0"/>
        <v>3.51</v>
      </c>
      <c r="N30" s="232">
        <v>3.31</v>
      </c>
      <c r="O30" s="335">
        <v>3</v>
      </c>
      <c r="P30" s="375">
        <v>8</v>
      </c>
      <c r="Q30" s="371" t="s">
        <v>41</v>
      </c>
      <c r="R30" s="368" t="str">
        <f t="shared" si="51"/>
        <v># 5</v>
      </c>
      <c r="S30" s="346">
        <f t="shared" si="32"/>
        <v>0.81</v>
      </c>
      <c r="T30" s="347">
        <f t="shared" si="1"/>
        <v>0.81</v>
      </c>
      <c r="U30" s="347">
        <f t="shared" si="33"/>
        <v>0.16200000000000001</v>
      </c>
      <c r="V30" s="348">
        <f t="shared" si="2"/>
        <v>0.16200000000000001</v>
      </c>
      <c r="W30" s="312">
        <f t="shared" si="3"/>
        <v>12.263</v>
      </c>
      <c r="X30" s="320">
        <f t="shared" si="4"/>
        <v>7.2620000000000005</v>
      </c>
      <c r="Y30" s="246">
        <v>7.75</v>
      </c>
      <c r="Z30" s="247">
        <v>8.5</v>
      </c>
      <c r="AA30" s="307">
        <f t="shared" si="5"/>
        <v>7.7479999999999993</v>
      </c>
      <c r="AB30" s="231">
        <f t="shared" si="6"/>
        <v>4.6820000000000004</v>
      </c>
      <c r="AC30" s="234">
        <v>10.5</v>
      </c>
      <c r="AD30" s="247">
        <v>7</v>
      </c>
      <c r="AE30" s="307">
        <f t="shared" si="34"/>
        <v>10.575999999999999</v>
      </c>
      <c r="AF30" s="231">
        <f t="shared" si="35"/>
        <v>6.298</v>
      </c>
      <c r="AG30" s="234">
        <v>7.5</v>
      </c>
      <c r="AH30" s="247">
        <v>5.75</v>
      </c>
      <c r="AI30" s="307">
        <f t="shared" si="36"/>
        <v>9.8859166666666667</v>
      </c>
      <c r="AJ30" s="231">
        <f t="shared" si="37"/>
        <v>5.9036666666666671</v>
      </c>
      <c r="AK30" s="234">
        <v>8</v>
      </c>
      <c r="AL30" s="247">
        <v>6</v>
      </c>
      <c r="AM30" s="312">
        <f t="shared" si="7"/>
        <v>8.4130000000000003</v>
      </c>
      <c r="AN30" s="231">
        <f t="shared" si="8"/>
        <v>5.0620000000000003</v>
      </c>
      <c r="AO30" s="234">
        <v>9.75</v>
      </c>
      <c r="AP30" s="247">
        <v>6.75</v>
      </c>
      <c r="AQ30" s="312">
        <f t="shared" si="9"/>
        <v>7.3979999999999997</v>
      </c>
      <c r="AR30" s="231">
        <f t="shared" si="10"/>
        <v>4.4820000000000002</v>
      </c>
      <c r="AS30" s="234">
        <v>11</v>
      </c>
      <c r="AT30" s="247">
        <v>7.25</v>
      </c>
      <c r="AU30" s="312">
        <f t="shared" si="11"/>
        <v>11.702999999999999</v>
      </c>
      <c r="AV30" s="231">
        <f t="shared" si="12"/>
        <v>6.9420000000000002</v>
      </c>
      <c r="AW30" s="234">
        <v>6.75</v>
      </c>
      <c r="AX30" s="247">
        <v>5.25</v>
      </c>
      <c r="AY30" s="345" t="s">
        <v>40</v>
      </c>
      <c r="AZ30" s="381">
        <f t="shared" si="13"/>
        <v>7.6875</v>
      </c>
      <c r="BA30" s="239">
        <f t="shared" si="14"/>
        <v>13</v>
      </c>
      <c r="BB30" s="239">
        <f t="shared" si="15"/>
        <v>14</v>
      </c>
      <c r="BC30" s="239">
        <f t="shared" si="16"/>
        <v>14</v>
      </c>
      <c r="BD30" s="239">
        <f t="shared" si="17"/>
        <v>13</v>
      </c>
      <c r="BE30" s="239">
        <f t="shared" si="18"/>
        <v>12</v>
      </c>
      <c r="BF30" s="239">
        <f t="shared" si="19"/>
        <v>15</v>
      </c>
      <c r="BG30" s="232">
        <v>0.4662562042966395</v>
      </c>
      <c r="BH30" s="232">
        <f t="shared" si="20"/>
        <v>0.67</v>
      </c>
      <c r="BI30" s="411">
        <f>VLOOKUP($AY30,'Bar Sizes'!$D$26:$F$36,3,FALSE)</f>
        <v>0.2</v>
      </c>
      <c r="BJ30" s="381">
        <f t="shared" si="38"/>
        <v>4.5</v>
      </c>
      <c r="BK30" s="401">
        <f t="shared" si="21"/>
        <v>11.533333333333331</v>
      </c>
      <c r="BL30" s="401">
        <f t="shared" si="22"/>
        <v>12.933333333333335</v>
      </c>
      <c r="BM30" s="401">
        <f t="shared" si="23"/>
        <v>12.533333386666666</v>
      </c>
      <c r="BN30" s="401">
        <f t="shared" si="24"/>
        <v>12</v>
      </c>
      <c r="BO30" s="401">
        <f t="shared" si="25"/>
        <v>10.8</v>
      </c>
      <c r="BP30" s="401">
        <f t="shared" si="26"/>
        <v>13.6</v>
      </c>
      <c r="BR30" s="464">
        <f t="shared" si="39"/>
        <v>0.67</v>
      </c>
      <c r="BS30" s="464">
        <f t="shared" si="40"/>
        <v>0.67</v>
      </c>
      <c r="BT30" s="464">
        <f t="shared" si="41"/>
        <v>0.67</v>
      </c>
      <c r="BU30" s="464">
        <f t="shared" si="42"/>
        <v>0.67</v>
      </c>
      <c r="BV30" s="464">
        <f t="shared" si="43"/>
        <v>0.67</v>
      </c>
      <c r="BW30" s="464">
        <f t="shared" si="44"/>
        <v>0.67</v>
      </c>
      <c r="BX30" s="430"/>
      <c r="BY30" s="461">
        <f t="shared" si="45"/>
        <v>7.25</v>
      </c>
      <c r="BZ30" s="461">
        <f t="shared" si="46"/>
        <v>7.5</v>
      </c>
      <c r="CA30" s="461">
        <f t="shared" si="47"/>
        <v>7.25</v>
      </c>
      <c r="CB30" s="461">
        <f t="shared" si="48"/>
        <v>7.5</v>
      </c>
      <c r="CC30" s="461">
        <f t="shared" si="49"/>
        <v>7.375</v>
      </c>
      <c r="CD30" s="461">
        <f t="shared" si="50"/>
        <v>7.3125</v>
      </c>
      <c r="CE30" s="430"/>
      <c r="CF30" s="430"/>
      <c r="CH30" t="s">
        <v>222</v>
      </c>
    </row>
    <row r="31" spans="3:86" x14ac:dyDescent="0.2">
      <c r="C31" s="267">
        <v>9.25</v>
      </c>
      <c r="D31" s="359">
        <v>6.44</v>
      </c>
      <c r="E31" s="334">
        <v>6.87</v>
      </c>
      <c r="F31" s="232">
        <v>6.03</v>
      </c>
      <c r="G31" s="233">
        <f t="shared" si="29"/>
        <v>5.3860000000000001</v>
      </c>
      <c r="H31" s="232">
        <v>5.19</v>
      </c>
      <c r="I31" s="233">
        <f t="shared" si="30"/>
        <v>5.0056666666666674</v>
      </c>
      <c r="J31" s="232">
        <v>4.4000000000000004</v>
      </c>
      <c r="K31" s="233">
        <f t="shared" si="31"/>
        <v>4.206666666666667</v>
      </c>
      <c r="L31" s="232">
        <v>3.82</v>
      </c>
      <c r="M31" s="233">
        <f t="shared" si="0"/>
        <v>3.645</v>
      </c>
      <c r="N31" s="232">
        <v>3.47</v>
      </c>
      <c r="O31" s="335">
        <v>3.2</v>
      </c>
      <c r="P31" s="375">
        <v>8</v>
      </c>
      <c r="Q31" s="371" t="s">
        <v>41</v>
      </c>
      <c r="R31" s="368" t="str">
        <f t="shared" si="51"/>
        <v># 5</v>
      </c>
      <c r="S31" s="346">
        <f t="shared" si="32"/>
        <v>0.85562499999999997</v>
      </c>
      <c r="T31" s="347">
        <f t="shared" si="1"/>
        <v>0.85562499999999997</v>
      </c>
      <c r="U31" s="347">
        <f t="shared" si="33"/>
        <v>0.171125</v>
      </c>
      <c r="V31" s="348">
        <f t="shared" si="2"/>
        <v>0.171125</v>
      </c>
      <c r="W31" s="312">
        <f t="shared" si="3"/>
        <v>12.596218750000002</v>
      </c>
      <c r="X31" s="320">
        <f t="shared" si="4"/>
        <v>7.4667500000000002</v>
      </c>
      <c r="Y31" s="246">
        <v>7.75</v>
      </c>
      <c r="Z31" s="247">
        <v>8.25</v>
      </c>
      <c r="AA31" s="307">
        <f t="shared" si="5"/>
        <v>8.0112187499999994</v>
      </c>
      <c r="AB31" s="231">
        <f t="shared" si="6"/>
        <v>4.8467500000000001</v>
      </c>
      <c r="AC31" s="234">
        <v>10.25</v>
      </c>
      <c r="AD31" s="247">
        <v>6.75</v>
      </c>
      <c r="AE31" s="307">
        <f t="shared" si="34"/>
        <v>10.75171875</v>
      </c>
      <c r="AF31" s="231">
        <f t="shared" si="35"/>
        <v>6.41275</v>
      </c>
      <c r="AG31" s="234">
        <v>7.5</v>
      </c>
      <c r="AH31" s="247">
        <v>5.75</v>
      </c>
      <c r="AI31" s="307">
        <f t="shared" si="36"/>
        <v>10.086135416666668</v>
      </c>
      <c r="AJ31" s="231">
        <f t="shared" si="37"/>
        <v>6.0324166666666672</v>
      </c>
      <c r="AK31" s="234">
        <v>8</v>
      </c>
      <c r="AL31" s="247">
        <v>6</v>
      </c>
      <c r="AM31" s="312">
        <f t="shared" si="7"/>
        <v>8.687885416666667</v>
      </c>
      <c r="AN31" s="231">
        <f t="shared" si="8"/>
        <v>5.2334166666666668</v>
      </c>
      <c r="AO31" s="234">
        <v>9.25</v>
      </c>
      <c r="AP31" s="247">
        <v>6.5</v>
      </c>
      <c r="AQ31" s="312">
        <f t="shared" si="9"/>
        <v>7.7049687499999999</v>
      </c>
      <c r="AR31" s="231">
        <f t="shared" si="10"/>
        <v>4.6717500000000003</v>
      </c>
      <c r="AS31" s="234">
        <v>10.5</v>
      </c>
      <c r="AT31" s="247">
        <v>7</v>
      </c>
      <c r="AU31" s="312">
        <f t="shared" si="11"/>
        <v>11.878718750000001</v>
      </c>
      <c r="AV31" s="231">
        <f t="shared" si="12"/>
        <v>7.0567500000000001</v>
      </c>
      <c r="AW31" s="234">
        <v>6.5</v>
      </c>
      <c r="AX31" s="247">
        <v>5.25</v>
      </c>
      <c r="AY31" s="345" t="s">
        <v>40</v>
      </c>
      <c r="AZ31" s="381">
        <f t="shared" si="13"/>
        <v>7.5</v>
      </c>
      <c r="BA31" s="239">
        <f t="shared" si="14"/>
        <v>13</v>
      </c>
      <c r="BB31" s="239">
        <f t="shared" si="15"/>
        <v>15</v>
      </c>
      <c r="BC31" s="239">
        <f t="shared" si="16"/>
        <v>14</v>
      </c>
      <c r="BD31" s="239">
        <f t="shared" si="17"/>
        <v>14</v>
      </c>
      <c r="BE31" s="239">
        <f t="shared" si="18"/>
        <v>13</v>
      </c>
      <c r="BF31" s="239">
        <f t="shared" si="19"/>
        <v>16</v>
      </c>
      <c r="BG31" s="232">
        <v>0.47973940846816499</v>
      </c>
      <c r="BH31" s="232">
        <f t="shared" si="20"/>
        <v>0.67</v>
      </c>
      <c r="BI31" s="411">
        <f>VLOOKUP($AY31,'Bar Sizes'!$D$26:$F$36,3,FALSE)</f>
        <v>0.2</v>
      </c>
      <c r="BJ31" s="381">
        <f t="shared" si="38"/>
        <v>4.5</v>
      </c>
      <c r="BK31" s="401">
        <f t="shared" si="21"/>
        <v>11.933333333333332</v>
      </c>
      <c r="BL31" s="401">
        <f t="shared" si="22"/>
        <v>13.333333333333334</v>
      </c>
      <c r="BM31" s="401">
        <f t="shared" si="23"/>
        <v>12.933333386666664</v>
      </c>
      <c r="BN31" s="401">
        <f t="shared" si="24"/>
        <v>12.400000000000002</v>
      </c>
      <c r="BO31" s="401">
        <f t="shared" si="25"/>
        <v>11.2</v>
      </c>
      <c r="BP31" s="401">
        <f t="shared" si="26"/>
        <v>14</v>
      </c>
      <c r="BR31" s="464">
        <f t="shared" si="39"/>
        <v>0.67</v>
      </c>
      <c r="BS31" s="464">
        <f t="shared" si="40"/>
        <v>0.67</v>
      </c>
      <c r="BT31" s="464">
        <f t="shared" si="41"/>
        <v>0.67</v>
      </c>
      <c r="BU31" s="464">
        <f t="shared" si="42"/>
        <v>0.67</v>
      </c>
      <c r="BV31" s="464">
        <f t="shared" si="43"/>
        <v>0.67</v>
      </c>
      <c r="BW31" s="464">
        <f t="shared" si="44"/>
        <v>0.67</v>
      </c>
      <c r="BX31" s="430"/>
      <c r="BY31" s="461">
        <f t="shared" si="45"/>
        <v>7.5</v>
      </c>
      <c r="BZ31" s="461">
        <f t="shared" si="46"/>
        <v>7.1875</v>
      </c>
      <c r="CA31" s="461">
        <f t="shared" si="47"/>
        <v>7.5</v>
      </c>
      <c r="CB31" s="461">
        <f t="shared" si="48"/>
        <v>7.1875</v>
      </c>
      <c r="CC31" s="461">
        <f t="shared" si="49"/>
        <v>7</v>
      </c>
      <c r="CD31" s="461">
        <f t="shared" si="50"/>
        <v>7</v>
      </c>
      <c r="CE31" s="430"/>
      <c r="CF31" s="430"/>
      <c r="CH31" t="s">
        <v>223</v>
      </c>
    </row>
    <row r="32" spans="3:86" x14ac:dyDescent="0.2">
      <c r="C32" s="267">
        <v>9.5</v>
      </c>
      <c r="D32" s="359">
        <v>6.59</v>
      </c>
      <c r="E32" s="334">
        <v>7.15</v>
      </c>
      <c r="F32" s="232">
        <v>6.31</v>
      </c>
      <c r="G32" s="233">
        <f t="shared" si="29"/>
        <v>5.6583333333333332</v>
      </c>
      <c r="H32" s="232">
        <v>5.46</v>
      </c>
      <c r="I32" s="233">
        <f t="shared" si="30"/>
        <v>5.2733333333333334</v>
      </c>
      <c r="J32" s="232">
        <v>4.66</v>
      </c>
      <c r="K32" s="233">
        <f t="shared" si="31"/>
        <v>4.4533333333333331</v>
      </c>
      <c r="L32" s="232">
        <v>4.04</v>
      </c>
      <c r="M32" s="233">
        <f t="shared" si="0"/>
        <v>3.8600000000000003</v>
      </c>
      <c r="N32" s="232">
        <v>3.68</v>
      </c>
      <c r="O32" s="335">
        <v>3.39</v>
      </c>
      <c r="P32" s="375">
        <v>8</v>
      </c>
      <c r="Q32" s="371" t="s">
        <v>41</v>
      </c>
      <c r="R32" s="368" t="str">
        <f t="shared" si="51"/>
        <v># 5</v>
      </c>
      <c r="S32" s="346">
        <f t="shared" si="32"/>
        <v>0.90249999999999997</v>
      </c>
      <c r="T32" s="347">
        <f t="shared" si="1"/>
        <v>0.90249999999999997</v>
      </c>
      <c r="U32" s="347">
        <f t="shared" si="33"/>
        <v>0.18049999999999999</v>
      </c>
      <c r="V32" s="348">
        <f t="shared" si="2"/>
        <v>0.18049999999999999</v>
      </c>
      <c r="W32" s="312">
        <f t="shared" si="3"/>
        <v>12.931374999999999</v>
      </c>
      <c r="X32" s="320">
        <f t="shared" si="4"/>
        <v>7.673</v>
      </c>
      <c r="Y32" s="246">
        <v>7.5</v>
      </c>
      <c r="Z32" s="247">
        <v>8.25</v>
      </c>
      <c r="AA32" s="307">
        <f t="shared" si="5"/>
        <v>8.4688750000000006</v>
      </c>
      <c r="AB32" s="231">
        <f t="shared" si="6"/>
        <v>5.1230000000000002</v>
      </c>
      <c r="AC32" s="234">
        <v>9.5</v>
      </c>
      <c r="AD32" s="247">
        <v>6.5</v>
      </c>
      <c r="AE32" s="307">
        <f t="shared" si="34"/>
        <v>11.300958333333334</v>
      </c>
      <c r="AF32" s="231">
        <f t="shared" si="35"/>
        <v>6.7413333333333334</v>
      </c>
      <c r="AG32" s="234">
        <v>7</v>
      </c>
      <c r="AH32" s="247">
        <v>5.5</v>
      </c>
      <c r="AI32" s="307">
        <f t="shared" si="36"/>
        <v>10.627208333333334</v>
      </c>
      <c r="AJ32" s="231">
        <f t="shared" si="37"/>
        <v>6.3563333333333336</v>
      </c>
      <c r="AK32" s="234">
        <v>7.5</v>
      </c>
      <c r="AL32" s="247">
        <v>5.75</v>
      </c>
      <c r="AM32" s="312">
        <f t="shared" si="7"/>
        <v>9.1922083333333333</v>
      </c>
      <c r="AN32" s="231">
        <f t="shared" si="8"/>
        <v>5.5363333333333333</v>
      </c>
      <c r="AO32" s="234">
        <v>8.75</v>
      </c>
      <c r="AP32" s="247">
        <v>6.25</v>
      </c>
      <c r="AQ32" s="312">
        <f t="shared" si="9"/>
        <v>8.1538750000000011</v>
      </c>
      <c r="AR32" s="231">
        <f t="shared" si="10"/>
        <v>4.9430000000000005</v>
      </c>
      <c r="AS32" s="234">
        <v>10</v>
      </c>
      <c r="AT32" s="247">
        <v>6.75</v>
      </c>
      <c r="AU32" s="312">
        <f t="shared" si="11"/>
        <v>12.441374999999999</v>
      </c>
      <c r="AV32" s="231">
        <f t="shared" si="12"/>
        <v>7.3929999999999998</v>
      </c>
      <c r="AW32" s="234">
        <v>6.25</v>
      </c>
      <c r="AX32" s="247">
        <v>5</v>
      </c>
      <c r="AY32" s="345" t="s">
        <v>40</v>
      </c>
      <c r="AZ32" s="381">
        <f t="shared" si="13"/>
        <v>7.3125</v>
      </c>
      <c r="BA32" s="239">
        <f t="shared" si="14"/>
        <v>14</v>
      </c>
      <c r="BB32" s="239">
        <f t="shared" si="15"/>
        <v>16</v>
      </c>
      <c r="BC32" s="239">
        <f t="shared" si="16"/>
        <v>15</v>
      </c>
      <c r="BD32" s="239">
        <f t="shared" si="17"/>
        <v>15</v>
      </c>
      <c r="BE32" s="239">
        <f t="shared" si="18"/>
        <v>13</v>
      </c>
      <c r="BF32" s="239">
        <f t="shared" si="19"/>
        <v>16</v>
      </c>
      <c r="BG32" s="232">
        <v>0.49335038520106034</v>
      </c>
      <c r="BH32" s="232">
        <f t="shared" si="20"/>
        <v>0.67</v>
      </c>
      <c r="BI32" s="411">
        <f>VLOOKUP($AY32,'Bar Sizes'!$D$26:$F$36,3,FALSE)</f>
        <v>0.2</v>
      </c>
      <c r="BJ32" s="381">
        <f t="shared" si="38"/>
        <v>4.5</v>
      </c>
      <c r="BK32" s="401">
        <f t="shared" si="21"/>
        <v>12.333333333333332</v>
      </c>
      <c r="BL32" s="401">
        <f t="shared" si="22"/>
        <v>13.733333333333334</v>
      </c>
      <c r="BM32" s="401">
        <f t="shared" si="23"/>
        <v>13.333333386666666</v>
      </c>
      <c r="BN32" s="401">
        <f t="shared" si="24"/>
        <v>12.8</v>
      </c>
      <c r="BO32" s="401">
        <f t="shared" si="25"/>
        <v>11.6</v>
      </c>
      <c r="BP32" s="401">
        <f t="shared" si="26"/>
        <v>14.399999999999999</v>
      </c>
      <c r="BR32" s="464">
        <f t="shared" si="39"/>
        <v>0.67</v>
      </c>
      <c r="BS32" s="464">
        <f t="shared" si="40"/>
        <v>0.67</v>
      </c>
      <c r="BT32" s="464">
        <f t="shared" si="41"/>
        <v>0.67</v>
      </c>
      <c r="BU32" s="464">
        <f t="shared" si="42"/>
        <v>0.67</v>
      </c>
      <c r="BV32" s="464">
        <f t="shared" si="43"/>
        <v>0.67</v>
      </c>
      <c r="BW32" s="464">
        <f t="shared" si="44"/>
        <v>0.67</v>
      </c>
      <c r="BX32" s="430"/>
      <c r="BY32" s="461">
        <f t="shared" si="45"/>
        <v>7.125</v>
      </c>
      <c r="BZ32" s="461">
        <f t="shared" si="46"/>
        <v>6.875</v>
      </c>
      <c r="CA32" s="461">
        <f t="shared" si="47"/>
        <v>7.1875</v>
      </c>
      <c r="CB32" s="461">
        <f t="shared" si="48"/>
        <v>6.875</v>
      </c>
      <c r="CC32" s="461">
        <f t="shared" si="49"/>
        <v>7.25</v>
      </c>
      <c r="CD32" s="461">
        <f t="shared" si="50"/>
        <v>7.25</v>
      </c>
      <c r="CE32" s="430"/>
      <c r="CF32" s="430"/>
    </row>
    <row r="33" spans="3:86" x14ac:dyDescent="0.2">
      <c r="C33" s="267">
        <v>9.75</v>
      </c>
      <c r="D33" s="359">
        <v>6.74</v>
      </c>
      <c r="E33" s="334">
        <v>7.51</v>
      </c>
      <c r="F33" s="232">
        <v>6.65</v>
      </c>
      <c r="G33" s="233">
        <f t="shared" si="29"/>
        <v>5.9983333333333331</v>
      </c>
      <c r="H33" s="232">
        <v>5.8</v>
      </c>
      <c r="I33" s="233">
        <f t="shared" si="30"/>
        <v>5.5993333333333331</v>
      </c>
      <c r="J33" s="232">
        <v>4.9400000000000004</v>
      </c>
      <c r="K33" s="233">
        <f t="shared" si="31"/>
        <v>4.6966666666666672</v>
      </c>
      <c r="L33" s="232">
        <v>4.21</v>
      </c>
      <c r="M33" s="233">
        <f t="shared" si="0"/>
        <v>4.05</v>
      </c>
      <c r="N33" s="232">
        <v>3.89</v>
      </c>
      <c r="O33" s="335">
        <v>3.58</v>
      </c>
      <c r="P33" s="375">
        <v>8</v>
      </c>
      <c r="Q33" s="371" t="s">
        <v>41</v>
      </c>
      <c r="R33" s="368" t="str">
        <f t="shared" si="51"/>
        <v># 5</v>
      </c>
      <c r="S33" s="346">
        <f t="shared" si="32"/>
        <v>0.95062500000000005</v>
      </c>
      <c r="T33" s="347">
        <f t="shared" si="1"/>
        <v>0.95062500000000005</v>
      </c>
      <c r="U33" s="347">
        <f t="shared" si="33"/>
        <v>0.19012500000000002</v>
      </c>
      <c r="V33" s="348">
        <f t="shared" si="2"/>
        <v>0.19012500000000002</v>
      </c>
      <c r="W33" s="312">
        <f t="shared" si="3"/>
        <v>13.26846875</v>
      </c>
      <c r="X33" s="320">
        <f t="shared" si="4"/>
        <v>7.8807500000000008</v>
      </c>
      <c r="Y33" s="246">
        <v>7.25</v>
      </c>
      <c r="Z33" s="247">
        <v>8</v>
      </c>
      <c r="AA33" s="307">
        <f t="shared" si="5"/>
        <v>8.84096875</v>
      </c>
      <c r="AB33" s="231">
        <f t="shared" si="6"/>
        <v>5.3507499999999997</v>
      </c>
      <c r="AC33" s="234">
        <v>9.25</v>
      </c>
      <c r="AD33" s="247">
        <v>6.5</v>
      </c>
      <c r="AE33" s="307">
        <f t="shared" si="34"/>
        <v>11.970552083333333</v>
      </c>
      <c r="AF33" s="231">
        <f t="shared" si="35"/>
        <v>7.1390833333333337</v>
      </c>
      <c r="AG33" s="234">
        <v>6.5</v>
      </c>
      <c r="AH33" s="247">
        <v>5.25</v>
      </c>
      <c r="AI33" s="307">
        <f t="shared" si="36"/>
        <v>11.272302083333333</v>
      </c>
      <c r="AJ33" s="231">
        <f t="shared" si="37"/>
        <v>6.7400833333333328</v>
      </c>
      <c r="AK33" s="234">
        <v>7</v>
      </c>
      <c r="AL33" s="247">
        <v>5.5</v>
      </c>
      <c r="AM33" s="312">
        <f t="shared" si="7"/>
        <v>9.6926354166666684</v>
      </c>
      <c r="AN33" s="231">
        <f t="shared" si="8"/>
        <v>5.8374166666666678</v>
      </c>
      <c r="AO33" s="234">
        <v>8.25</v>
      </c>
      <c r="AP33" s="247">
        <v>6</v>
      </c>
      <c r="AQ33" s="312">
        <f t="shared" si="9"/>
        <v>8.5609687500000007</v>
      </c>
      <c r="AR33" s="231">
        <f t="shared" si="10"/>
        <v>5.1907499999999995</v>
      </c>
      <c r="AS33" s="234">
        <v>9.5</v>
      </c>
      <c r="AT33" s="247">
        <v>6.5</v>
      </c>
      <c r="AU33" s="312">
        <f t="shared" si="11"/>
        <v>13.110968750000001</v>
      </c>
      <c r="AV33" s="231">
        <f t="shared" si="12"/>
        <v>7.790750000000001</v>
      </c>
      <c r="AW33" s="234">
        <v>6</v>
      </c>
      <c r="AX33" s="247">
        <v>5</v>
      </c>
      <c r="AY33" s="345" t="s">
        <v>40</v>
      </c>
      <c r="AZ33" s="381">
        <f t="shared" si="13"/>
        <v>7.0625</v>
      </c>
      <c r="BA33" s="239">
        <f t="shared" si="14"/>
        <v>15</v>
      </c>
      <c r="BB33" s="239">
        <f t="shared" si="15"/>
        <v>16</v>
      </c>
      <c r="BC33" s="239">
        <f t="shared" si="16"/>
        <v>16</v>
      </c>
      <c r="BD33" s="239">
        <f t="shared" si="17"/>
        <v>15</v>
      </c>
      <c r="BE33" s="239">
        <f t="shared" si="18"/>
        <v>14</v>
      </c>
      <c r="BF33" s="239">
        <f t="shared" si="19"/>
        <v>17</v>
      </c>
      <c r="BG33" s="232">
        <v>0.5070905444276993</v>
      </c>
      <c r="BH33" s="232">
        <f t="shared" si="20"/>
        <v>0.67</v>
      </c>
      <c r="BI33" s="411">
        <f>VLOOKUP($AY33,'Bar Sizes'!$D$26:$F$36,3,FALSE)</f>
        <v>0.2</v>
      </c>
      <c r="BJ33" s="381">
        <f t="shared" si="38"/>
        <v>4.5</v>
      </c>
      <c r="BK33" s="401">
        <f t="shared" si="21"/>
        <v>12.733333333333334</v>
      </c>
      <c r="BL33" s="401">
        <f t="shared" si="22"/>
        <v>14.133333333333333</v>
      </c>
      <c r="BM33" s="401">
        <f t="shared" si="23"/>
        <v>13.733333386666668</v>
      </c>
      <c r="BN33" s="401">
        <f t="shared" si="24"/>
        <v>13.200000000000001</v>
      </c>
      <c r="BO33" s="401">
        <f t="shared" si="25"/>
        <v>12</v>
      </c>
      <c r="BP33" s="401">
        <f t="shared" si="26"/>
        <v>14.8</v>
      </c>
      <c r="BR33" s="464">
        <f t="shared" si="39"/>
        <v>0.67</v>
      </c>
      <c r="BS33" s="464">
        <f t="shared" si="40"/>
        <v>0.67</v>
      </c>
      <c r="BT33" s="464">
        <f t="shared" si="41"/>
        <v>0.67</v>
      </c>
      <c r="BU33" s="464">
        <f t="shared" si="42"/>
        <v>0.67</v>
      </c>
      <c r="BV33" s="464">
        <f t="shared" si="43"/>
        <v>0.67</v>
      </c>
      <c r="BW33" s="464">
        <f t="shared" si="44"/>
        <v>0.67</v>
      </c>
      <c r="BX33" s="430"/>
      <c r="BY33" s="461">
        <f t="shared" si="45"/>
        <v>6.875</v>
      </c>
      <c r="BZ33" s="461">
        <f t="shared" si="46"/>
        <v>7.125</v>
      </c>
      <c r="CA33" s="461">
        <f t="shared" si="47"/>
        <v>6.875</v>
      </c>
      <c r="CB33" s="461">
        <f t="shared" si="48"/>
        <v>7.125</v>
      </c>
      <c r="CC33" s="461">
        <f t="shared" si="49"/>
        <v>6.9375</v>
      </c>
      <c r="CD33" s="461">
        <f t="shared" si="50"/>
        <v>6.9375</v>
      </c>
      <c r="CE33" s="430"/>
      <c r="CF33" s="430"/>
      <c r="CH33" t="s">
        <v>224</v>
      </c>
    </row>
    <row r="34" spans="3:86" x14ac:dyDescent="0.2">
      <c r="C34" s="267">
        <v>10</v>
      </c>
      <c r="D34" s="359">
        <v>6.89</v>
      </c>
      <c r="E34" s="334">
        <v>7.85</v>
      </c>
      <c r="F34" s="232">
        <v>6.99</v>
      </c>
      <c r="G34" s="233">
        <f t="shared" si="29"/>
        <v>6.3306666666666667</v>
      </c>
      <c r="H34" s="232">
        <v>6.13</v>
      </c>
      <c r="I34" s="233">
        <f t="shared" si="30"/>
        <v>5.9269999999999996</v>
      </c>
      <c r="J34" s="232">
        <v>5.26</v>
      </c>
      <c r="K34" s="233">
        <f t="shared" si="31"/>
        <v>4.9766666666666666</v>
      </c>
      <c r="L34" s="232">
        <v>4.41</v>
      </c>
      <c r="M34" s="233">
        <f t="shared" si="0"/>
        <v>4.25</v>
      </c>
      <c r="N34" s="232">
        <v>4.09</v>
      </c>
      <c r="O34" s="335">
        <v>3.77</v>
      </c>
      <c r="P34" s="375">
        <v>8.25</v>
      </c>
      <c r="Q34" s="371" t="s">
        <v>41</v>
      </c>
      <c r="R34" s="368" t="str">
        <f t="shared" si="51"/>
        <v># 5</v>
      </c>
      <c r="S34" s="346">
        <f t="shared" si="32"/>
        <v>1.03125</v>
      </c>
      <c r="T34" s="347">
        <f t="shared" si="1"/>
        <v>1.03125</v>
      </c>
      <c r="U34" s="347">
        <f t="shared" si="33"/>
        <v>0.2</v>
      </c>
      <c r="V34" s="348">
        <f t="shared" si="2"/>
        <v>0.2</v>
      </c>
      <c r="W34" s="312">
        <f t="shared" si="3"/>
        <v>13.6465625</v>
      </c>
      <c r="X34" s="320">
        <f t="shared" si="4"/>
        <v>8.1212499999999999</v>
      </c>
      <c r="Y34" s="246">
        <v>7.25</v>
      </c>
      <c r="Z34" s="247">
        <v>8.25</v>
      </c>
      <c r="AA34" s="307">
        <f t="shared" si="5"/>
        <v>9.3065625000000001</v>
      </c>
      <c r="AB34" s="231">
        <f t="shared" si="6"/>
        <v>5.6412500000000003</v>
      </c>
      <c r="AC34" s="234">
        <v>9</v>
      </c>
      <c r="AD34" s="247">
        <v>6.5</v>
      </c>
      <c r="AE34" s="307">
        <f t="shared" si="34"/>
        <v>12.667729166666668</v>
      </c>
      <c r="AF34" s="231">
        <f t="shared" si="35"/>
        <v>7.5619166666666668</v>
      </c>
      <c r="AG34" s="234">
        <v>6.5</v>
      </c>
      <c r="AH34" s="247">
        <v>5.25</v>
      </c>
      <c r="AI34" s="307">
        <f t="shared" si="36"/>
        <v>11.9613125</v>
      </c>
      <c r="AJ34" s="231">
        <f t="shared" si="37"/>
        <v>7.1582499999999998</v>
      </c>
      <c r="AK34" s="234">
        <v>7</v>
      </c>
      <c r="AL34" s="247">
        <v>5.5</v>
      </c>
      <c r="AM34" s="312">
        <f t="shared" si="7"/>
        <v>10.298229166666667</v>
      </c>
      <c r="AN34" s="231">
        <f t="shared" si="8"/>
        <v>6.2079166666666667</v>
      </c>
      <c r="AO34" s="234">
        <v>8.25</v>
      </c>
      <c r="AP34" s="247">
        <v>6</v>
      </c>
      <c r="AQ34" s="312">
        <f t="shared" si="9"/>
        <v>9.0265625000000007</v>
      </c>
      <c r="AR34" s="231">
        <f t="shared" si="10"/>
        <v>5.4812500000000002</v>
      </c>
      <c r="AS34" s="234">
        <v>9.5</v>
      </c>
      <c r="AT34" s="247">
        <v>6.5</v>
      </c>
      <c r="AU34" s="312">
        <f t="shared" si="11"/>
        <v>13.821562500000001</v>
      </c>
      <c r="AV34" s="231">
        <f t="shared" si="12"/>
        <v>8.2212499999999995</v>
      </c>
      <c r="AW34" s="234">
        <v>6</v>
      </c>
      <c r="AX34" s="247">
        <v>5</v>
      </c>
      <c r="AY34" s="345" t="s">
        <v>40</v>
      </c>
      <c r="AZ34" s="381">
        <f t="shared" si="13"/>
        <v>7.1875</v>
      </c>
      <c r="BA34" s="239">
        <f t="shared" si="14"/>
        <v>15</v>
      </c>
      <c r="BB34" s="239">
        <f t="shared" si="15"/>
        <v>17</v>
      </c>
      <c r="BC34" s="239">
        <f t="shared" si="16"/>
        <v>16</v>
      </c>
      <c r="BD34" s="239">
        <f t="shared" si="17"/>
        <v>16</v>
      </c>
      <c r="BE34" s="239">
        <f t="shared" si="18"/>
        <v>14</v>
      </c>
      <c r="BF34" s="239">
        <f t="shared" si="19"/>
        <v>17</v>
      </c>
      <c r="BG34" s="232">
        <v>0.49958666863794471</v>
      </c>
      <c r="BH34" s="232">
        <f t="shared" si="20"/>
        <v>0.67</v>
      </c>
      <c r="BI34" s="411">
        <f>VLOOKUP($AY34,'Bar Sizes'!$D$26:$F$36,3,FALSE)</f>
        <v>0.2</v>
      </c>
      <c r="BJ34" s="381">
        <f t="shared" si="38"/>
        <v>4.75</v>
      </c>
      <c r="BK34" s="401">
        <f t="shared" si="21"/>
        <v>12.70967741935484</v>
      </c>
      <c r="BL34" s="401">
        <f t="shared" si="22"/>
        <v>14.06451612903226</v>
      </c>
      <c r="BM34" s="401">
        <f t="shared" si="23"/>
        <v>13.677419406451612</v>
      </c>
      <c r="BN34" s="401">
        <f t="shared" si="24"/>
        <v>13.161290322580644</v>
      </c>
      <c r="BO34" s="401">
        <f t="shared" si="25"/>
        <v>12</v>
      </c>
      <c r="BP34" s="401">
        <f t="shared" si="26"/>
        <v>14.70967741935484</v>
      </c>
      <c r="BR34" s="464">
        <f t="shared" si="39"/>
        <v>0.67</v>
      </c>
      <c r="BS34" s="464">
        <f t="shared" si="40"/>
        <v>0.67</v>
      </c>
      <c r="BT34" s="464">
        <f t="shared" si="41"/>
        <v>0.67</v>
      </c>
      <c r="BU34" s="464">
        <f t="shared" si="42"/>
        <v>0.67</v>
      </c>
      <c r="BV34" s="464">
        <f t="shared" si="43"/>
        <v>0.67</v>
      </c>
      <c r="BW34" s="464">
        <f t="shared" si="44"/>
        <v>0.67</v>
      </c>
      <c r="BX34" s="430"/>
      <c r="BY34" s="461">
        <f t="shared" si="45"/>
        <v>7.0625</v>
      </c>
      <c r="BZ34" s="461">
        <f t="shared" si="46"/>
        <v>6.8125</v>
      </c>
      <c r="CA34" s="461">
        <f t="shared" si="47"/>
        <v>7.125</v>
      </c>
      <c r="CB34" s="461">
        <f t="shared" si="48"/>
        <v>6.8125</v>
      </c>
      <c r="CC34" s="461">
        <f t="shared" si="49"/>
        <v>7.1875</v>
      </c>
      <c r="CD34" s="461">
        <f t="shared" si="50"/>
        <v>7.125</v>
      </c>
      <c r="CE34" s="430"/>
      <c r="CF34" s="430"/>
      <c r="CG34" s="227"/>
      <c r="CH34" t="s">
        <v>225</v>
      </c>
    </row>
    <row r="35" spans="3:86" x14ac:dyDescent="0.2">
      <c r="C35" s="267">
        <v>10.25</v>
      </c>
      <c r="D35" s="359">
        <v>7.03</v>
      </c>
      <c r="E35" s="334">
        <v>8.19</v>
      </c>
      <c r="F35" s="232">
        <v>7.32</v>
      </c>
      <c r="G35" s="233">
        <f t="shared" si="29"/>
        <v>6.6530000000000005</v>
      </c>
      <c r="H35" s="232">
        <v>6.45</v>
      </c>
      <c r="I35" s="233">
        <f t="shared" si="30"/>
        <v>6.2469999999999999</v>
      </c>
      <c r="J35" s="232">
        <v>5.58</v>
      </c>
      <c r="K35" s="233">
        <f t="shared" si="31"/>
        <v>5.29</v>
      </c>
      <c r="L35" s="232">
        <v>4.71</v>
      </c>
      <c r="M35" s="233">
        <f t="shared" si="0"/>
        <v>4.5</v>
      </c>
      <c r="N35" s="232">
        <v>4.29</v>
      </c>
      <c r="O35" s="335">
        <v>3.96</v>
      </c>
      <c r="P35" s="375">
        <v>8.25</v>
      </c>
      <c r="Q35" s="371" t="s">
        <v>41</v>
      </c>
      <c r="R35" s="368" t="str">
        <f t="shared" si="51"/>
        <v># 5</v>
      </c>
      <c r="S35" s="346">
        <f t="shared" si="32"/>
        <v>1.08345703125</v>
      </c>
      <c r="T35" s="347">
        <f t="shared" si="1"/>
        <v>1.08345703125</v>
      </c>
      <c r="U35" s="347">
        <f t="shared" si="33"/>
        <v>0.21012500000000001</v>
      </c>
      <c r="V35" s="348">
        <f t="shared" si="2"/>
        <v>0.21012500000000001</v>
      </c>
      <c r="W35" s="312">
        <f t="shared" si="3"/>
        <v>13.9720087890625</v>
      </c>
      <c r="X35" s="320">
        <f t="shared" si="4"/>
        <v>8.32358203125</v>
      </c>
      <c r="Y35" s="246">
        <v>7.25</v>
      </c>
      <c r="Z35" s="247">
        <v>8</v>
      </c>
      <c r="AA35" s="307">
        <f t="shared" si="5"/>
        <v>9.912008789062499</v>
      </c>
      <c r="AB35" s="231">
        <f t="shared" si="6"/>
        <v>6.0035820312499997</v>
      </c>
      <c r="AC35" s="234">
        <v>8.5</v>
      </c>
      <c r="AD35" s="247">
        <v>6.25</v>
      </c>
      <c r="AE35" s="307">
        <f t="shared" si="34"/>
        <v>13.312258789062501</v>
      </c>
      <c r="AF35" s="231">
        <f t="shared" si="35"/>
        <v>7.9465820312500011</v>
      </c>
      <c r="AG35" s="234">
        <v>6.25</v>
      </c>
      <c r="AH35" s="247">
        <v>5</v>
      </c>
      <c r="AI35" s="307">
        <f t="shared" si="36"/>
        <v>12.601758789062499</v>
      </c>
      <c r="AJ35" s="231">
        <f t="shared" si="37"/>
        <v>7.5405820312500005</v>
      </c>
      <c r="AK35" s="234">
        <v>6.5</v>
      </c>
      <c r="AL35" s="247">
        <v>5.25</v>
      </c>
      <c r="AM35" s="312">
        <f t="shared" si="7"/>
        <v>10.9270087890625</v>
      </c>
      <c r="AN35" s="231">
        <f t="shared" si="8"/>
        <v>6.5835820312499997</v>
      </c>
      <c r="AO35" s="234">
        <v>7.75</v>
      </c>
      <c r="AP35" s="247">
        <v>5.75</v>
      </c>
      <c r="AQ35" s="312">
        <f t="shared" si="9"/>
        <v>9.5445087890624993</v>
      </c>
      <c r="AR35" s="231">
        <f t="shared" si="10"/>
        <v>5.7935820312500006</v>
      </c>
      <c r="AS35" s="234">
        <v>9</v>
      </c>
      <c r="AT35" s="247">
        <v>6.25</v>
      </c>
      <c r="AU35" s="312">
        <f t="shared" si="11"/>
        <v>14.4795087890625</v>
      </c>
      <c r="AV35" s="231">
        <f t="shared" si="12"/>
        <v>8.6135820312500009</v>
      </c>
      <c r="AW35" s="234">
        <v>5.5</v>
      </c>
      <c r="AX35" s="247">
        <v>4.75</v>
      </c>
      <c r="AY35" s="345" t="s">
        <v>40</v>
      </c>
      <c r="AZ35" s="381">
        <f t="shared" si="13"/>
        <v>7</v>
      </c>
      <c r="BA35" s="239">
        <f t="shared" si="14"/>
        <v>16</v>
      </c>
      <c r="BB35" s="239">
        <f t="shared" si="15"/>
        <v>17</v>
      </c>
      <c r="BC35" s="239">
        <f t="shared" si="16"/>
        <v>17</v>
      </c>
      <c r="BD35" s="239">
        <f t="shared" si="17"/>
        <v>16</v>
      </c>
      <c r="BE35" s="239">
        <f t="shared" si="18"/>
        <v>15</v>
      </c>
      <c r="BF35" s="239">
        <f t="shared" si="19"/>
        <v>18</v>
      </c>
      <c r="BG35" s="232">
        <v>0.51228917717789768</v>
      </c>
      <c r="BH35" s="232">
        <f t="shared" si="20"/>
        <v>0.67</v>
      </c>
      <c r="BI35" s="411">
        <f>VLOOKUP($AY35,'Bar Sizes'!$D$26:$F$36,3,FALSE)</f>
        <v>0.2</v>
      </c>
      <c r="BJ35" s="381">
        <f t="shared" si="38"/>
        <v>4.75</v>
      </c>
      <c r="BK35" s="401">
        <f t="shared" si="21"/>
        <v>13.096774193548388</v>
      </c>
      <c r="BL35" s="401">
        <f t="shared" si="22"/>
        <v>14.451612903225808</v>
      </c>
      <c r="BM35" s="401">
        <f t="shared" si="23"/>
        <v>14.064516180645162</v>
      </c>
      <c r="BN35" s="401">
        <f t="shared" si="24"/>
        <v>13.548387096774196</v>
      </c>
      <c r="BO35" s="401">
        <f t="shared" si="25"/>
        <v>12.387096774193548</v>
      </c>
      <c r="BP35" s="401">
        <f t="shared" si="26"/>
        <v>15.096774193548388</v>
      </c>
      <c r="BR35" s="464">
        <f t="shared" si="39"/>
        <v>0.67</v>
      </c>
      <c r="BS35" s="464">
        <f t="shared" si="40"/>
        <v>0.67</v>
      </c>
      <c r="BT35" s="464">
        <f t="shared" si="41"/>
        <v>0.67</v>
      </c>
      <c r="BU35" s="464">
        <f t="shared" si="42"/>
        <v>0.67</v>
      </c>
      <c r="BV35" s="464">
        <f t="shared" si="43"/>
        <v>0.67</v>
      </c>
      <c r="BW35" s="464">
        <f t="shared" si="44"/>
        <v>0.67</v>
      </c>
      <c r="BX35" s="430"/>
      <c r="BY35" s="461">
        <f t="shared" si="45"/>
        <v>6.8125</v>
      </c>
      <c r="BZ35" s="461">
        <f t="shared" si="46"/>
        <v>7</v>
      </c>
      <c r="CA35" s="461">
        <f t="shared" si="47"/>
        <v>6.8125</v>
      </c>
      <c r="CB35" s="461">
        <f t="shared" si="48"/>
        <v>7</v>
      </c>
      <c r="CC35" s="461">
        <f t="shared" si="49"/>
        <v>6.875</v>
      </c>
      <c r="CD35" s="461">
        <f t="shared" si="50"/>
        <v>6.9375</v>
      </c>
      <c r="CE35" s="430"/>
      <c r="CF35" s="430"/>
    </row>
    <row r="36" spans="3:86" x14ac:dyDescent="0.2">
      <c r="C36" s="267">
        <v>10.5</v>
      </c>
      <c r="D36" s="359">
        <v>7.17</v>
      </c>
      <c r="E36" s="334">
        <v>8.52</v>
      </c>
      <c r="F36" s="232">
        <v>7.64</v>
      </c>
      <c r="G36" s="233">
        <f t="shared" si="29"/>
        <v>6.9729999999999999</v>
      </c>
      <c r="H36" s="232">
        <v>6.77</v>
      </c>
      <c r="I36" s="233">
        <f t="shared" si="30"/>
        <v>6.5646666666666658</v>
      </c>
      <c r="J36" s="232">
        <v>5.89</v>
      </c>
      <c r="K36" s="233">
        <f t="shared" si="31"/>
        <v>5.6</v>
      </c>
      <c r="L36" s="232">
        <v>5.0199999999999996</v>
      </c>
      <c r="M36" s="233">
        <f t="shared" si="0"/>
        <v>4.75</v>
      </c>
      <c r="N36" s="232">
        <v>4.4800000000000004</v>
      </c>
      <c r="O36" s="335">
        <v>4.1500000000000004</v>
      </c>
      <c r="P36" s="375">
        <v>8.25</v>
      </c>
      <c r="Q36" s="371" t="s">
        <v>41</v>
      </c>
      <c r="R36" s="368" t="str">
        <f t="shared" si="51"/>
        <v># 5</v>
      </c>
      <c r="S36" s="346">
        <f t="shared" si="32"/>
        <v>1.136953125</v>
      </c>
      <c r="T36" s="347">
        <f t="shared" si="1"/>
        <v>1.136953125</v>
      </c>
      <c r="U36" s="347">
        <f t="shared" si="33"/>
        <v>0.2205</v>
      </c>
      <c r="V36" s="348">
        <f t="shared" si="2"/>
        <v>0.2205</v>
      </c>
      <c r="W36" s="312">
        <f t="shared" si="3"/>
        <v>14.299441406249999</v>
      </c>
      <c r="X36" s="320">
        <f t="shared" si="4"/>
        <v>8.5274531249999992</v>
      </c>
      <c r="Y36" s="246">
        <v>7</v>
      </c>
      <c r="Z36" s="247">
        <v>8</v>
      </c>
      <c r="AA36" s="307">
        <f t="shared" si="5"/>
        <v>10.53694140625</v>
      </c>
      <c r="AB36" s="231">
        <f t="shared" si="6"/>
        <v>6.3774531249999997</v>
      </c>
      <c r="AC36" s="234">
        <v>8</v>
      </c>
      <c r="AD36" s="247">
        <v>6</v>
      </c>
      <c r="AE36" s="307">
        <f t="shared" si="34"/>
        <v>13.954691406249999</v>
      </c>
      <c r="AF36" s="231">
        <f t="shared" si="35"/>
        <v>8.330453125</v>
      </c>
      <c r="AG36" s="234">
        <v>5.75</v>
      </c>
      <c r="AH36" s="247">
        <v>5</v>
      </c>
      <c r="AI36" s="307">
        <f t="shared" si="36"/>
        <v>13.240108072916664</v>
      </c>
      <c r="AJ36" s="231">
        <f t="shared" si="37"/>
        <v>7.9221197916666659</v>
      </c>
      <c r="AK36" s="234">
        <v>6.25</v>
      </c>
      <c r="AL36" s="247">
        <v>5</v>
      </c>
      <c r="AM36" s="312">
        <f t="shared" si="7"/>
        <v>11.551941406249998</v>
      </c>
      <c r="AN36" s="231">
        <f t="shared" si="8"/>
        <v>6.9574531249999998</v>
      </c>
      <c r="AO36" s="234">
        <v>7.25</v>
      </c>
      <c r="AP36" s="247">
        <v>5.5</v>
      </c>
      <c r="AQ36" s="312">
        <f t="shared" si="9"/>
        <v>10.064441406249999</v>
      </c>
      <c r="AR36" s="231">
        <f t="shared" si="10"/>
        <v>6.1074531250000001</v>
      </c>
      <c r="AS36" s="234">
        <v>8.5</v>
      </c>
      <c r="AT36" s="247">
        <v>6.25</v>
      </c>
      <c r="AU36" s="312">
        <f t="shared" si="11"/>
        <v>15.121941406249999</v>
      </c>
      <c r="AV36" s="231">
        <f t="shared" si="12"/>
        <v>8.9974531249999998</v>
      </c>
      <c r="AW36" s="234">
        <v>5.25</v>
      </c>
      <c r="AX36" s="247">
        <v>4.75</v>
      </c>
      <c r="AY36" s="345" t="s">
        <v>40</v>
      </c>
      <c r="AZ36" s="381">
        <f t="shared" si="13"/>
        <v>6.875</v>
      </c>
      <c r="BA36" s="239">
        <f t="shared" si="14"/>
        <v>17</v>
      </c>
      <c r="BB36" s="239">
        <f t="shared" si="15"/>
        <v>18</v>
      </c>
      <c r="BC36" s="239">
        <f t="shared" si="16"/>
        <v>18</v>
      </c>
      <c r="BD36" s="239">
        <f t="shared" si="17"/>
        <v>17</v>
      </c>
      <c r="BE36" s="239">
        <f t="shared" si="18"/>
        <v>16</v>
      </c>
      <c r="BF36" s="239">
        <f t="shared" si="19"/>
        <v>19</v>
      </c>
      <c r="BG36" s="232">
        <v>0.52511148225329318</v>
      </c>
      <c r="BH36" s="232">
        <f t="shared" si="20"/>
        <v>0.67</v>
      </c>
      <c r="BI36" s="411">
        <f>VLOOKUP($AY36,'Bar Sizes'!$D$26:$F$36,3,FALSE)</f>
        <v>0.2</v>
      </c>
      <c r="BJ36" s="381">
        <f t="shared" si="38"/>
        <v>4.75</v>
      </c>
      <c r="BK36" s="401">
        <f t="shared" si="21"/>
        <v>13.483870967741936</v>
      </c>
      <c r="BL36" s="401">
        <f t="shared" si="22"/>
        <v>14.838709677419356</v>
      </c>
      <c r="BM36" s="401">
        <f t="shared" si="23"/>
        <v>14.45161295483871</v>
      </c>
      <c r="BN36" s="401">
        <f t="shared" si="24"/>
        <v>13.935483870967744</v>
      </c>
      <c r="BO36" s="401">
        <f t="shared" si="25"/>
        <v>12.774193548387096</v>
      </c>
      <c r="BP36" s="401">
        <f t="shared" si="26"/>
        <v>15.483870967741936</v>
      </c>
      <c r="BR36" s="464">
        <f t="shared" si="39"/>
        <v>0.67</v>
      </c>
      <c r="BS36" s="464">
        <f t="shared" si="40"/>
        <v>0.67</v>
      </c>
      <c r="BT36" s="464">
        <f t="shared" si="41"/>
        <v>0.67</v>
      </c>
      <c r="BU36" s="464">
        <f t="shared" si="42"/>
        <v>0.67</v>
      </c>
      <c r="BV36" s="464">
        <f t="shared" si="43"/>
        <v>0.67</v>
      </c>
      <c r="BW36" s="464">
        <f t="shared" si="44"/>
        <v>0.67</v>
      </c>
      <c r="BX36" s="430"/>
      <c r="BY36" s="461">
        <f t="shared" si="45"/>
        <v>6.5625</v>
      </c>
      <c r="BZ36" s="461">
        <f t="shared" si="46"/>
        <v>6.8125</v>
      </c>
      <c r="CA36" s="461">
        <f t="shared" si="47"/>
        <v>6.625</v>
      </c>
      <c r="CB36" s="461">
        <f t="shared" si="48"/>
        <v>6.75</v>
      </c>
      <c r="CC36" s="461">
        <f t="shared" si="49"/>
        <v>6.625</v>
      </c>
      <c r="CD36" s="461">
        <f t="shared" si="50"/>
        <v>6.6875</v>
      </c>
      <c r="CE36" s="430"/>
      <c r="CF36" s="430"/>
      <c r="CH36" t="s">
        <v>226</v>
      </c>
    </row>
    <row r="37" spans="3:86" x14ac:dyDescent="0.2">
      <c r="C37" s="267">
        <v>10.75</v>
      </c>
      <c r="D37" s="359">
        <v>7.32</v>
      </c>
      <c r="E37" s="334">
        <v>8.83</v>
      </c>
      <c r="F37" s="232">
        <v>7.95</v>
      </c>
      <c r="G37" s="233">
        <f t="shared" si="29"/>
        <v>7.2830000000000004</v>
      </c>
      <c r="H37" s="232">
        <v>7.08</v>
      </c>
      <c r="I37" s="233">
        <f t="shared" si="30"/>
        <v>6.8746666666666663</v>
      </c>
      <c r="J37" s="232">
        <v>6.2</v>
      </c>
      <c r="K37" s="233">
        <f t="shared" si="31"/>
        <v>5.9066666666666672</v>
      </c>
      <c r="L37" s="232">
        <v>5.32</v>
      </c>
      <c r="M37" s="233">
        <f t="shared" si="0"/>
        <v>5</v>
      </c>
      <c r="N37" s="232">
        <v>4.68</v>
      </c>
      <c r="O37" s="335">
        <v>4.34</v>
      </c>
      <c r="P37" s="375">
        <v>8.25</v>
      </c>
      <c r="Q37" s="371" t="s">
        <v>42</v>
      </c>
      <c r="R37" s="368" t="str">
        <f t="shared" si="51"/>
        <v># 6</v>
      </c>
      <c r="S37" s="346">
        <f t="shared" si="32"/>
        <v>1.1917382812499999</v>
      </c>
      <c r="T37" s="347">
        <f t="shared" si="1"/>
        <v>1.1917382812499999</v>
      </c>
      <c r="U37" s="347">
        <f t="shared" si="33"/>
        <v>0.231125</v>
      </c>
      <c r="V37" s="348">
        <f t="shared" si="2"/>
        <v>0.231125</v>
      </c>
      <c r="W37" s="312">
        <f t="shared" si="3"/>
        <v>14.6463603515625</v>
      </c>
      <c r="X37" s="320">
        <f t="shared" si="4"/>
        <v>8.7428632812500009</v>
      </c>
      <c r="Y37" s="246">
        <v>9.5</v>
      </c>
      <c r="Z37" s="247">
        <v>9.5</v>
      </c>
      <c r="AA37" s="307">
        <f t="shared" si="5"/>
        <v>11.1463603515625</v>
      </c>
      <c r="AB37" s="231">
        <f t="shared" si="6"/>
        <v>6.74286328125</v>
      </c>
      <c r="AC37" s="234">
        <v>10.5</v>
      </c>
      <c r="AD37" s="247">
        <v>7</v>
      </c>
      <c r="AE37" s="307">
        <f t="shared" si="34"/>
        <v>14.5816103515625</v>
      </c>
      <c r="AF37" s="231">
        <f t="shared" si="35"/>
        <v>8.7058632812500001</v>
      </c>
      <c r="AG37" s="234">
        <v>7.75</v>
      </c>
      <c r="AH37" s="247">
        <v>6</v>
      </c>
      <c r="AI37" s="307">
        <f t="shared" si="36"/>
        <v>13.867027018229166</v>
      </c>
      <c r="AJ37" s="231">
        <f t="shared" si="37"/>
        <v>8.2975299479166669</v>
      </c>
      <c r="AK37" s="234">
        <v>8.25</v>
      </c>
      <c r="AL37" s="247">
        <v>6</v>
      </c>
      <c r="AM37" s="312">
        <f t="shared" si="7"/>
        <v>12.173027018229167</v>
      </c>
      <c r="AN37" s="231">
        <f t="shared" si="8"/>
        <v>7.3295299479166669</v>
      </c>
      <c r="AO37" s="234">
        <v>9.5</v>
      </c>
      <c r="AP37" s="247">
        <v>6.75</v>
      </c>
      <c r="AQ37" s="312">
        <f t="shared" si="9"/>
        <v>10.586360351562501</v>
      </c>
      <c r="AR37" s="231">
        <f t="shared" si="10"/>
        <v>6.4228632812499997</v>
      </c>
      <c r="AS37" s="234">
        <v>11.25</v>
      </c>
      <c r="AT37" s="247">
        <v>7.25</v>
      </c>
      <c r="AU37" s="312">
        <f t="shared" si="11"/>
        <v>15.748860351562499</v>
      </c>
      <c r="AV37" s="231">
        <f t="shared" si="12"/>
        <v>9.3728632812499999</v>
      </c>
      <c r="AW37" s="234">
        <v>7.25</v>
      </c>
      <c r="AX37" s="247">
        <v>5.5</v>
      </c>
      <c r="AY37" s="345" t="s">
        <v>41</v>
      </c>
      <c r="AZ37" s="381">
        <f t="shared" si="13"/>
        <v>10.25</v>
      </c>
      <c r="BA37" s="239">
        <f t="shared" si="14"/>
        <v>12</v>
      </c>
      <c r="BB37" s="239">
        <f t="shared" si="15"/>
        <v>13</v>
      </c>
      <c r="BC37" s="239">
        <f t="shared" si="16"/>
        <v>13</v>
      </c>
      <c r="BD37" s="239">
        <f t="shared" si="17"/>
        <v>12</v>
      </c>
      <c r="BE37" s="239">
        <f t="shared" si="18"/>
        <v>11</v>
      </c>
      <c r="BF37" s="239">
        <f t="shared" si="19"/>
        <v>14</v>
      </c>
      <c r="BG37" s="232">
        <v>0.54477976535883466</v>
      </c>
      <c r="BH37" s="232">
        <f t="shared" si="20"/>
        <v>0.67</v>
      </c>
      <c r="BI37" s="411">
        <f>VLOOKUP($AY37,'Bar Sizes'!$D$26:$F$36,3,FALSE)</f>
        <v>0.31</v>
      </c>
      <c r="BJ37" s="381">
        <f t="shared" si="38"/>
        <v>4.75</v>
      </c>
      <c r="BK37" s="401">
        <f t="shared" si="21"/>
        <v>13.870967741935484</v>
      </c>
      <c r="BL37" s="401">
        <f t="shared" si="22"/>
        <v>15.225806451612904</v>
      </c>
      <c r="BM37" s="401">
        <f t="shared" si="23"/>
        <v>14.838709729032258</v>
      </c>
      <c r="BN37" s="401">
        <f t="shared" si="24"/>
        <v>14.322580645161292</v>
      </c>
      <c r="BO37" s="401">
        <f t="shared" si="25"/>
        <v>13.161290322580644</v>
      </c>
      <c r="BP37" s="401">
        <f t="shared" si="26"/>
        <v>15.870967741935484</v>
      </c>
      <c r="BR37" s="464">
        <f t="shared" si="39"/>
        <v>0.67</v>
      </c>
      <c r="BS37" s="464">
        <f t="shared" si="40"/>
        <v>0.67</v>
      </c>
      <c r="BT37" s="464">
        <f t="shared" si="41"/>
        <v>0.67</v>
      </c>
      <c r="BU37" s="464">
        <f t="shared" si="42"/>
        <v>0.67</v>
      </c>
      <c r="BV37" s="464">
        <f t="shared" si="43"/>
        <v>0.67</v>
      </c>
      <c r="BW37" s="464">
        <f t="shared" si="44"/>
        <v>0.67</v>
      </c>
      <c r="BX37" s="430"/>
      <c r="BY37" s="461">
        <f t="shared" si="45"/>
        <v>9.8125</v>
      </c>
      <c r="BZ37" s="461">
        <f t="shared" si="46"/>
        <v>9.875</v>
      </c>
      <c r="CA37" s="461">
        <f t="shared" si="47"/>
        <v>9.625</v>
      </c>
      <c r="CB37" s="461">
        <f t="shared" si="48"/>
        <v>10.125</v>
      </c>
      <c r="CC37" s="461">
        <f t="shared" si="49"/>
        <v>10.25</v>
      </c>
      <c r="CD37" s="461">
        <f t="shared" si="50"/>
        <v>9.5</v>
      </c>
      <c r="CE37" s="430"/>
      <c r="CF37" s="430"/>
      <c r="CH37" t="s">
        <v>227</v>
      </c>
    </row>
    <row r="38" spans="3:86" x14ac:dyDescent="0.2">
      <c r="C38" s="267">
        <v>11</v>
      </c>
      <c r="D38" s="359">
        <v>7.46</v>
      </c>
      <c r="E38" s="334">
        <v>9.14</v>
      </c>
      <c r="F38" s="232">
        <v>8.26</v>
      </c>
      <c r="G38" s="233">
        <f t="shared" si="29"/>
        <v>7.5853333333333328</v>
      </c>
      <c r="H38" s="232">
        <v>7.38</v>
      </c>
      <c r="I38" s="233">
        <f t="shared" si="30"/>
        <v>7.174666666666667</v>
      </c>
      <c r="J38" s="232">
        <v>6.5</v>
      </c>
      <c r="K38" s="233">
        <f t="shared" si="31"/>
        <v>6.206666666666667</v>
      </c>
      <c r="L38" s="232">
        <v>5.62</v>
      </c>
      <c r="M38" s="233">
        <f t="shared" si="0"/>
        <v>5.24</v>
      </c>
      <c r="N38" s="232">
        <v>4.8600000000000003</v>
      </c>
      <c r="O38" s="335">
        <v>4.5199999999999996</v>
      </c>
      <c r="P38" s="375">
        <v>9</v>
      </c>
      <c r="Q38" s="371" t="s">
        <v>42</v>
      </c>
      <c r="R38" s="368" t="str">
        <f t="shared" si="51"/>
        <v># 6</v>
      </c>
      <c r="S38" s="346">
        <f t="shared" si="32"/>
        <v>1.3612499999999998</v>
      </c>
      <c r="T38" s="347">
        <f t="shared" si="1"/>
        <v>1.3612499999999998</v>
      </c>
      <c r="U38" s="347">
        <f t="shared" si="33"/>
        <v>0.24199999999999999</v>
      </c>
      <c r="V38" s="348">
        <f t="shared" si="2"/>
        <v>0.24199999999999999</v>
      </c>
      <c r="W38" s="312">
        <f t="shared" si="3"/>
        <v>15.119562500000001</v>
      </c>
      <c r="X38" s="320">
        <f t="shared" si="4"/>
        <v>9.06325</v>
      </c>
      <c r="Y38" s="246">
        <v>10.5</v>
      </c>
      <c r="Z38" s="247">
        <v>10</v>
      </c>
      <c r="AA38" s="307">
        <f t="shared" si="5"/>
        <v>11.899562500000002</v>
      </c>
      <c r="AB38" s="231">
        <f t="shared" si="6"/>
        <v>7.2232500000000002</v>
      </c>
      <c r="AC38" s="234">
        <v>11.5</v>
      </c>
      <c r="AD38" s="247">
        <v>7.75</v>
      </c>
      <c r="AE38" s="307">
        <f t="shared" si="34"/>
        <v>15.338895833333332</v>
      </c>
      <c r="AF38" s="231">
        <f t="shared" si="35"/>
        <v>9.188583333333332</v>
      </c>
      <c r="AG38" s="234">
        <v>8.75</v>
      </c>
      <c r="AH38" s="247">
        <v>6.5</v>
      </c>
      <c r="AI38" s="307">
        <f t="shared" si="36"/>
        <v>14.620229166666668</v>
      </c>
      <c r="AJ38" s="231">
        <f t="shared" si="37"/>
        <v>8.7779166666666661</v>
      </c>
      <c r="AK38" s="234">
        <v>9.25</v>
      </c>
      <c r="AL38" s="247">
        <v>6.75</v>
      </c>
      <c r="AM38" s="312">
        <f t="shared" si="7"/>
        <v>12.926229166666669</v>
      </c>
      <c r="AN38" s="231">
        <f t="shared" si="8"/>
        <v>7.8099166666666671</v>
      </c>
      <c r="AO38" s="234">
        <v>10.5</v>
      </c>
      <c r="AP38" s="247">
        <v>7.25</v>
      </c>
      <c r="AQ38" s="312">
        <f t="shared" si="9"/>
        <v>11.234562499999999</v>
      </c>
      <c r="AR38" s="231">
        <f t="shared" si="10"/>
        <v>6.8432500000000003</v>
      </c>
      <c r="AS38" s="234">
        <v>12.25</v>
      </c>
      <c r="AT38" s="247">
        <v>8</v>
      </c>
      <c r="AU38" s="312">
        <f t="shared" si="11"/>
        <v>16.519562499999999</v>
      </c>
      <c r="AV38" s="231">
        <f t="shared" si="12"/>
        <v>9.863249999999999</v>
      </c>
      <c r="AW38" s="234">
        <v>8</v>
      </c>
      <c r="AX38" s="247">
        <v>6.25</v>
      </c>
      <c r="AY38" s="345" t="s">
        <v>41</v>
      </c>
      <c r="AZ38" s="381">
        <f t="shared" si="13"/>
        <v>11.1875</v>
      </c>
      <c r="BA38" s="239">
        <f t="shared" si="14"/>
        <v>11</v>
      </c>
      <c r="BB38" s="239">
        <f t="shared" si="15"/>
        <v>12</v>
      </c>
      <c r="BC38" s="239">
        <f t="shared" si="16"/>
        <v>12</v>
      </c>
      <c r="BD38" s="239">
        <f t="shared" si="17"/>
        <v>12</v>
      </c>
      <c r="BE38" s="239">
        <f t="shared" si="18"/>
        <v>11</v>
      </c>
      <c r="BF38" s="239">
        <f t="shared" si="19"/>
        <v>13</v>
      </c>
      <c r="BG38" s="232">
        <v>0.49706287738400934</v>
      </c>
      <c r="BH38" s="232">
        <f t="shared" si="20"/>
        <v>0.67</v>
      </c>
      <c r="BI38" s="411">
        <f>VLOOKUP($AY38,'Bar Sizes'!$D$26:$F$36,3,FALSE)</f>
        <v>0.31</v>
      </c>
      <c r="BJ38" s="381">
        <f t="shared" si="38"/>
        <v>5.5</v>
      </c>
      <c r="BK38" s="401">
        <f t="shared" si="21"/>
        <v>13.000000000000002</v>
      </c>
      <c r="BL38" s="401">
        <f t="shared" si="22"/>
        <v>14.235294117647058</v>
      </c>
      <c r="BM38" s="401">
        <f t="shared" si="23"/>
        <v>13.882352988235294</v>
      </c>
      <c r="BN38" s="401">
        <f t="shared" si="24"/>
        <v>13.411764705882353</v>
      </c>
      <c r="BO38" s="401">
        <f t="shared" si="25"/>
        <v>12.352941176470587</v>
      </c>
      <c r="BP38" s="401">
        <f t="shared" si="26"/>
        <v>14.823529411764707</v>
      </c>
      <c r="BR38" s="464">
        <f t="shared" si="39"/>
        <v>0.67</v>
      </c>
      <c r="BS38" s="464">
        <f t="shared" si="40"/>
        <v>0.67</v>
      </c>
      <c r="BT38" s="464">
        <f t="shared" si="41"/>
        <v>0.67</v>
      </c>
      <c r="BU38" s="464">
        <f t="shared" si="42"/>
        <v>0.67</v>
      </c>
      <c r="BV38" s="464">
        <f t="shared" si="43"/>
        <v>0.67</v>
      </c>
      <c r="BW38" s="464">
        <f t="shared" si="44"/>
        <v>0.67</v>
      </c>
      <c r="BX38" s="430"/>
      <c r="BY38" s="461">
        <f t="shared" si="45"/>
        <v>11.0625</v>
      </c>
      <c r="BZ38" s="461">
        <f t="shared" si="46"/>
        <v>11</v>
      </c>
      <c r="CA38" s="461">
        <f t="shared" si="47"/>
        <v>10.75</v>
      </c>
      <c r="CB38" s="461">
        <f t="shared" si="48"/>
        <v>10.375</v>
      </c>
      <c r="CC38" s="461">
        <f t="shared" si="49"/>
        <v>10.5</v>
      </c>
      <c r="CD38" s="461">
        <f t="shared" si="50"/>
        <v>10.5</v>
      </c>
      <c r="CE38" s="430"/>
      <c r="CF38" s="430"/>
      <c r="CH38" t="s">
        <v>228</v>
      </c>
    </row>
    <row r="39" spans="3:86" x14ac:dyDescent="0.2">
      <c r="C39" s="267">
        <v>11.25</v>
      </c>
      <c r="D39" s="359">
        <v>7.6</v>
      </c>
      <c r="E39" s="334">
        <v>9.44</v>
      </c>
      <c r="F39" s="232">
        <v>8.5500000000000007</v>
      </c>
      <c r="G39" s="233">
        <f t="shared" si="29"/>
        <v>7.8753333333333337</v>
      </c>
      <c r="H39" s="232">
        <v>7.67</v>
      </c>
      <c r="I39" s="233">
        <f t="shared" si="30"/>
        <v>7.4646666666666661</v>
      </c>
      <c r="J39" s="232">
        <v>6.79</v>
      </c>
      <c r="K39" s="233">
        <f t="shared" si="31"/>
        <v>6.496666666666667</v>
      </c>
      <c r="L39" s="232">
        <v>5.91</v>
      </c>
      <c r="M39" s="233">
        <f t="shared" si="0"/>
        <v>5.4749999999999996</v>
      </c>
      <c r="N39" s="232">
        <v>5.04</v>
      </c>
      <c r="O39" s="335">
        <v>4.7</v>
      </c>
      <c r="P39" s="375">
        <v>9</v>
      </c>
      <c r="Q39" s="371" t="s">
        <v>42</v>
      </c>
      <c r="R39" s="368" t="str">
        <f t="shared" si="51"/>
        <v># 6</v>
      </c>
      <c r="S39" s="346">
        <f t="shared" si="32"/>
        <v>1.423828125</v>
      </c>
      <c r="T39" s="347">
        <f t="shared" si="1"/>
        <v>1.423828125</v>
      </c>
      <c r="U39" s="347">
        <f t="shared" si="33"/>
        <v>0.25312499999999999</v>
      </c>
      <c r="V39" s="348">
        <f t="shared" si="2"/>
        <v>0.25312499999999999</v>
      </c>
      <c r="W39" s="312">
        <f t="shared" si="3"/>
        <v>15.45947265625</v>
      </c>
      <c r="X39" s="320">
        <f t="shared" si="4"/>
        <v>9.2769531250000004</v>
      </c>
      <c r="Y39" s="246">
        <v>10.25</v>
      </c>
      <c r="Z39" s="247">
        <v>9.75</v>
      </c>
      <c r="AA39" s="307">
        <f t="shared" si="5"/>
        <v>12.50197265625</v>
      </c>
      <c r="AB39" s="231">
        <f t="shared" si="6"/>
        <v>7.586953125</v>
      </c>
      <c r="AC39" s="234">
        <v>10.75</v>
      </c>
      <c r="AD39" s="247">
        <v>7.5</v>
      </c>
      <c r="AE39" s="307">
        <f t="shared" si="34"/>
        <v>15.941305989583334</v>
      </c>
      <c r="AF39" s="231">
        <f t="shared" si="35"/>
        <v>9.5522864583333345</v>
      </c>
      <c r="AG39" s="234">
        <v>8.25</v>
      </c>
      <c r="AH39" s="247">
        <v>6.25</v>
      </c>
      <c r="AI39" s="307">
        <f t="shared" si="36"/>
        <v>15.222639322916667</v>
      </c>
      <c r="AJ39" s="231">
        <f t="shared" si="37"/>
        <v>9.1416197916666668</v>
      </c>
      <c r="AK39" s="234">
        <v>8.75</v>
      </c>
      <c r="AL39" s="247">
        <v>6.5</v>
      </c>
      <c r="AM39" s="312">
        <f t="shared" si="7"/>
        <v>13.528639322916668</v>
      </c>
      <c r="AN39" s="231">
        <f t="shared" si="8"/>
        <v>8.1736197916666669</v>
      </c>
      <c r="AO39" s="234">
        <v>10</v>
      </c>
      <c r="AP39" s="247">
        <v>7</v>
      </c>
      <c r="AQ39" s="312">
        <f t="shared" si="9"/>
        <v>11.74072265625</v>
      </c>
      <c r="AR39" s="231">
        <f t="shared" si="10"/>
        <v>7.1519531249999995</v>
      </c>
      <c r="AS39" s="234">
        <v>11.5</v>
      </c>
      <c r="AT39" s="247">
        <v>7.75</v>
      </c>
      <c r="AU39" s="312">
        <f t="shared" si="11"/>
        <v>17.121972656250001</v>
      </c>
      <c r="AV39" s="231">
        <f t="shared" si="12"/>
        <v>10.226953125000001</v>
      </c>
      <c r="AW39" s="234">
        <v>7.75</v>
      </c>
      <c r="AX39" s="247">
        <v>6</v>
      </c>
      <c r="AY39" s="345" t="s">
        <v>41</v>
      </c>
      <c r="AZ39" s="381">
        <f t="shared" si="13"/>
        <v>10.9375</v>
      </c>
      <c r="BA39" s="239">
        <f t="shared" si="14"/>
        <v>12</v>
      </c>
      <c r="BB39" s="239">
        <f t="shared" si="15"/>
        <v>13</v>
      </c>
      <c r="BC39" s="239">
        <f t="shared" si="16"/>
        <v>13</v>
      </c>
      <c r="BD39" s="239">
        <f t="shared" si="17"/>
        <v>12</v>
      </c>
      <c r="BE39" s="239">
        <f t="shared" si="18"/>
        <v>11</v>
      </c>
      <c r="BF39" s="239">
        <f t="shared" si="19"/>
        <v>13</v>
      </c>
      <c r="BG39" s="232">
        <v>0.50889243451636146</v>
      </c>
      <c r="BH39" s="232">
        <f t="shared" si="20"/>
        <v>0.67</v>
      </c>
      <c r="BI39" s="411">
        <f>VLOOKUP($AY39,'Bar Sizes'!$D$26:$F$36,3,FALSE)</f>
        <v>0.31</v>
      </c>
      <c r="BJ39" s="381">
        <f t="shared" si="38"/>
        <v>5.5</v>
      </c>
      <c r="BK39" s="401">
        <f t="shared" si="21"/>
        <v>13.352941176470589</v>
      </c>
      <c r="BL39" s="401">
        <f t="shared" si="22"/>
        <v>14.588235294117649</v>
      </c>
      <c r="BM39" s="401">
        <f t="shared" si="23"/>
        <v>14.235294164705882</v>
      </c>
      <c r="BN39" s="401">
        <f t="shared" si="24"/>
        <v>13.76470588235294</v>
      </c>
      <c r="BO39" s="401">
        <f t="shared" si="25"/>
        <v>12.705882352941178</v>
      </c>
      <c r="BP39" s="401">
        <f t="shared" si="26"/>
        <v>15.176470588235293</v>
      </c>
      <c r="BR39" s="464">
        <f t="shared" si="39"/>
        <v>0.67</v>
      </c>
      <c r="BS39" s="464">
        <f t="shared" si="40"/>
        <v>0.67</v>
      </c>
      <c r="BT39" s="464">
        <f t="shared" si="41"/>
        <v>0.67</v>
      </c>
      <c r="BU39" s="464">
        <f t="shared" si="42"/>
        <v>0.67</v>
      </c>
      <c r="BV39" s="464">
        <f t="shared" si="43"/>
        <v>0.67</v>
      </c>
      <c r="BW39" s="464">
        <f t="shared" si="44"/>
        <v>0.67</v>
      </c>
      <c r="BX39" s="430"/>
      <c r="BY39" s="461">
        <f t="shared" si="45"/>
        <v>10.375</v>
      </c>
      <c r="BZ39" s="461">
        <f t="shared" si="46"/>
        <v>10.375</v>
      </c>
      <c r="CA39" s="461">
        <f t="shared" si="47"/>
        <v>10.125</v>
      </c>
      <c r="CB39" s="461">
        <f t="shared" si="48"/>
        <v>10.6875</v>
      </c>
      <c r="CC39" s="461">
        <f t="shared" si="49"/>
        <v>10.8125</v>
      </c>
      <c r="CD39" s="461">
        <f t="shared" si="50"/>
        <v>10.75</v>
      </c>
      <c r="CE39" s="430"/>
      <c r="CF39" s="430"/>
      <c r="CH39" t="s">
        <v>229</v>
      </c>
    </row>
    <row r="40" spans="3:86" x14ac:dyDescent="0.2">
      <c r="C40" s="267">
        <v>11.5</v>
      </c>
      <c r="D40" s="359">
        <v>7.74</v>
      </c>
      <c r="E40" s="334">
        <v>9.7200000000000006</v>
      </c>
      <c r="F40" s="232">
        <v>8.84</v>
      </c>
      <c r="G40" s="233">
        <f t="shared" si="29"/>
        <v>8.1653333333333329</v>
      </c>
      <c r="H40" s="232">
        <v>7.96</v>
      </c>
      <c r="I40" s="233">
        <f t="shared" si="30"/>
        <v>7.7523333333333335</v>
      </c>
      <c r="J40" s="232">
        <v>7.07</v>
      </c>
      <c r="K40" s="233">
        <f t="shared" si="31"/>
        <v>6.7766666666666673</v>
      </c>
      <c r="L40" s="232">
        <v>6.19</v>
      </c>
      <c r="M40" s="233">
        <f t="shared" si="0"/>
        <v>5.7050000000000001</v>
      </c>
      <c r="N40" s="232">
        <v>5.22</v>
      </c>
      <c r="O40" s="335">
        <v>4.87</v>
      </c>
      <c r="P40" s="375">
        <v>9</v>
      </c>
      <c r="Q40" s="371" t="s">
        <v>42</v>
      </c>
      <c r="R40" s="368" t="str">
        <f t="shared" si="51"/>
        <v># 6</v>
      </c>
      <c r="S40" s="346">
        <f t="shared" si="32"/>
        <v>1.4878124999999998</v>
      </c>
      <c r="T40" s="347">
        <f t="shared" si="1"/>
        <v>1.4878124999999998</v>
      </c>
      <c r="U40" s="347">
        <f t="shared" si="33"/>
        <v>0.26450000000000001</v>
      </c>
      <c r="V40" s="348">
        <f t="shared" si="2"/>
        <v>0.26450000000000001</v>
      </c>
      <c r="W40" s="312">
        <f t="shared" si="3"/>
        <v>15.801515625</v>
      </c>
      <c r="X40" s="320">
        <f t="shared" si="4"/>
        <v>9.4923125000000006</v>
      </c>
      <c r="Y40" s="246">
        <v>10</v>
      </c>
      <c r="Z40" s="247">
        <v>9.75</v>
      </c>
      <c r="AA40" s="307">
        <f t="shared" si="5"/>
        <v>13.089015625000002</v>
      </c>
      <c r="AB40" s="231">
        <f t="shared" si="6"/>
        <v>7.9423124999999999</v>
      </c>
      <c r="AC40" s="234">
        <v>10.25</v>
      </c>
      <c r="AD40" s="247">
        <v>7.25</v>
      </c>
      <c r="AE40" s="307">
        <f t="shared" si="34"/>
        <v>16.54584895833333</v>
      </c>
      <c r="AF40" s="231">
        <f t="shared" si="35"/>
        <v>9.9176458333333333</v>
      </c>
      <c r="AG40" s="234">
        <v>8</v>
      </c>
      <c r="AH40" s="247">
        <v>6.25</v>
      </c>
      <c r="AI40" s="307">
        <f t="shared" si="36"/>
        <v>15.823098958333333</v>
      </c>
      <c r="AJ40" s="231">
        <f t="shared" si="37"/>
        <v>9.504645833333333</v>
      </c>
      <c r="AK40" s="234">
        <v>8.5</v>
      </c>
      <c r="AL40" s="247">
        <v>6.25</v>
      </c>
      <c r="AM40" s="312">
        <f t="shared" si="7"/>
        <v>14.115682291666666</v>
      </c>
      <c r="AN40" s="231">
        <f t="shared" si="8"/>
        <v>8.5289791666666677</v>
      </c>
      <c r="AO40" s="234">
        <v>9.5</v>
      </c>
      <c r="AP40" s="247">
        <v>6.75</v>
      </c>
      <c r="AQ40" s="312">
        <f t="shared" si="9"/>
        <v>12.240265624999999</v>
      </c>
      <c r="AR40" s="231">
        <f t="shared" si="10"/>
        <v>7.4573124999999996</v>
      </c>
      <c r="AS40" s="234">
        <v>11</v>
      </c>
      <c r="AT40" s="247">
        <v>7.5</v>
      </c>
      <c r="AU40" s="312">
        <f t="shared" si="11"/>
        <v>17.726515624999998</v>
      </c>
      <c r="AV40" s="231">
        <f t="shared" si="12"/>
        <v>10.5923125</v>
      </c>
      <c r="AW40" s="234">
        <v>7.5</v>
      </c>
      <c r="AX40" s="247">
        <v>6</v>
      </c>
      <c r="AY40" s="345" t="s">
        <v>41</v>
      </c>
      <c r="AZ40" s="381">
        <f t="shared" si="13"/>
        <v>10.6875</v>
      </c>
      <c r="BA40" s="239">
        <f t="shared" si="14"/>
        <v>12</v>
      </c>
      <c r="BB40" s="239">
        <f t="shared" si="15"/>
        <v>13</v>
      </c>
      <c r="BC40" s="239">
        <f t="shared" si="16"/>
        <v>13</v>
      </c>
      <c r="BD40" s="239">
        <f t="shared" si="17"/>
        <v>13</v>
      </c>
      <c r="BE40" s="239">
        <f t="shared" si="18"/>
        <v>12</v>
      </c>
      <c r="BF40" s="239">
        <f t="shared" si="19"/>
        <v>14</v>
      </c>
      <c r="BG40" s="232">
        <v>0.52082888482274148</v>
      </c>
      <c r="BH40" s="232">
        <f t="shared" si="20"/>
        <v>0.67</v>
      </c>
      <c r="BI40" s="411">
        <f>VLOOKUP($AY40,'Bar Sizes'!$D$26:$F$36,3,FALSE)</f>
        <v>0.31</v>
      </c>
      <c r="BJ40" s="381">
        <f t="shared" si="38"/>
        <v>5.5</v>
      </c>
      <c r="BK40" s="401">
        <f t="shared" si="21"/>
        <v>13.705882352941178</v>
      </c>
      <c r="BL40" s="401">
        <f t="shared" si="22"/>
        <v>14.941176470588236</v>
      </c>
      <c r="BM40" s="401">
        <f t="shared" si="23"/>
        <v>14.588235341176469</v>
      </c>
      <c r="BN40" s="401">
        <f t="shared" si="24"/>
        <v>14.117647058823529</v>
      </c>
      <c r="BO40" s="401">
        <f t="shared" si="25"/>
        <v>13.058823529411764</v>
      </c>
      <c r="BP40" s="401">
        <f t="shared" si="26"/>
        <v>15.529411764705884</v>
      </c>
      <c r="BR40" s="464">
        <f t="shared" si="39"/>
        <v>0.67</v>
      </c>
      <c r="BS40" s="464">
        <f t="shared" si="40"/>
        <v>0.67</v>
      </c>
      <c r="BT40" s="464">
        <f t="shared" si="41"/>
        <v>0.67</v>
      </c>
      <c r="BU40" s="464">
        <f t="shared" si="42"/>
        <v>0.67</v>
      </c>
      <c r="BV40" s="464">
        <f t="shared" si="43"/>
        <v>0.67</v>
      </c>
      <c r="BW40" s="464">
        <f t="shared" si="44"/>
        <v>0.66332495807108005</v>
      </c>
      <c r="BX40" s="430"/>
      <c r="BY40" s="461">
        <f t="shared" si="45"/>
        <v>10.625</v>
      </c>
      <c r="BZ40" s="461">
        <f t="shared" si="46"/>
        <v>10.625</v>
      </c>
      <c r="CA40" s="461">
        <f t="shared" si="47"/>
        <v>10.375</v>
      </c>
      <c r="CB40" s="461">
        <f t="shared" si="48"/>
        <v>10</v>
      </c>
      <c r="CC40" s="461">
        <f t="shared" si="49"/>
        <v>10.125</v>
      </c>
      <c r="CD40" s="461">
        <f t="shared" si="50"/>
        <v>10.1875</v>
      </c>
      <c r="CE40" s="430"/>
      <c r="CF40" s="430"/>
    </row>
    <row r="41" spans="3:86" x14ac:dyDescent="0.2">
      <c r="C41" s="267">
        <v>11.75</v>
      </c>
      <c r="D41" s="359">
        <v>7.88</v>
      </c>
      <c r="E41" s="334">
        <v>10.01</v>
      </c>
      <c r="F41" s="232">
        <v>9.1199999999999992</v>
      </c>
      <c r="G41" s="233">
        <f t="shared" si="29"/>
        <v>8.445333333333334</v>
      </c>
      <c r="H41" s="232">
        <v>8.24</v>
      </c>
      <c r="I41" s="233">
        <f t="shared" si="30"/>
        <v>8.0346666666666664</v>
      </c>
      <c r="J41" s="232">
        <v>7.36</v>
      </c>
      <c r="K41" s="233">
        <f t="shared" si="31"/>
        <v>7.0633333333333335</v>
      </c>
      <c r="L41" s="232">
        <v>6.47</v>
      </c>
      <c r="M41" s="233">
        <f t="shared" si="0"/>
        <v>5.9350000000000005</v>
      </c>
      <c r="N41" s="232">
        <v>5.4</v>
      </c>
      <c r="O41" s="335">
        <v>5.05</v>
      </c>
      <c r="P41" s="375">
        <v>9</v>
      </c>
      <c r="Q41" s="371" t="s">
        <v>42</v>
      </c>
      <c r="R41" s="368" t="str">
        <f t="shared" si="51"/>
        <v># 6</v>
      </c>
      <c r="S41" s="346">
        <f t="shared" si="32"/>
        <v>1.5532031249999998</v>
      </c>
      <c r="T41" s="347">
        <f t="shared" si="1"/>
        <v>1.5532031249999998</v>
      </c>
      <c r="U41" s="347">
        <f t="shared" si="33"/>
        <v>0.27612500000000001</v>
      </c>
      <c r="V41" s="348">
        <f t="shared" si="2"/>
        <v>0.27612500000000001</v>
      </c>
      <c r="W41" s="312">
        <f t="shared" si="3"/>
        <v>16.145691406249998</v>
      </c>
      <c r="X41" s="320">
        <f t="shared" si="4"/>
        <v>9.709328124999999</v>
      </c>
      <c r="Y41" s="246">
        <v>9.75</v>
      </c>
      <c r="Z41" s="247">
        <v>9.5</v>
      </c>
      <c r="AA41" s="307">
        <f t="shared" si="5"/>
        <v>13.678191406249999</v>
      </c>
      <c r="AB41" s="231">
        <f t="shared" si="6"/>
        <v>8.2993281249999988</v>
      </c>
      <c r="AC41" s="234">
        <v>9.75</v>
      </c>
      <c r="AD41" s="247">
        <v>7</v>
      </c>
      <c r="AE41" s="307">
        <f t="shared" si="34"/>
        <v>17.135024739583333</v>
      </c>
      <c r="AF41" s="231">
        <f t="shared" si="35"/>
        <v>10.274661458333334</v>
      </c>
      <c r="AG41" s="234">
        <v>7.75</v>
      </c>
      <c r="AH41" s="247">
        <v>6</v>
      </c>
      <c r="AI41" s="307">
        <f t="shared" si="36"/>
        <v>16.416358072916665</v>
      </c>
      <c r="AJ41" s="231">
        <f t="shared" si="37"/>
        <v>9.8639947916666664</v>
      </c>
      <c r="AK41" s="234">
        <v>8</v>
      </c>
      <c r="AL41" s="247">
        <v>6.25</v>
      </c>
      <c r="AM41" s="312">
        <f t="shared" si="7"/>
        <v>14.716524739583333</v>
      </c>
      <c r="AN41" s="231">
        <f t="shared" si="8"/>
        <v>8.8926614583333325</v>
      </c>
      <c r="AO41" s="234">
        <v>9</v>
      </c>
      <c r="AP41" s="247">
        <v>6.75</v>
      </c>
      <c r="AQ41" s="312">
        <f t="shared" si="9"/>
        <v>12.74194140625</v>
      </c>
      <c r="AR41" s="231">
        <f t="shared" si="10"/>
        <v>7.7643281250000005</v>
      </c>
      <c r="AS41" s="234">
        <v>10.5</v>
      </c>
      <c r="AT41" s="247">
        <v>7.25</v>
      </c>
      <c r="AU41" s="312">
        <f t="shared" si="11"/>
        <v>18.31569140625</v>
      </c>
      <c r="AV41" s="231">
        <f t="shared" si="12"/>
        <v>10.949328124999999</v>
      </c>
      <c r="AW41" s="234">
        <v>7.25</v>
      </c>
      <c r="AX41" s="247">
        <v>5.75</v>
      </c>
      <c r="AY41" s="345" t="s">
        <v>41</v>
      </c>
      <c r="AZ41" s="381">
        <f t="shared" si="13"/>
        <v>10.4375</v>
      </c>
      <c r="BA41" s="239">
        <f t="shared" si="14"/>
        <v>13</v>
      </c>
      <c r="BB41" s="239">
        <f t="shared" si="15"/>
        <v>14</v>
      </c>
      <c r="BC41" s="239">
        <f t="shared" si="16"/>
        <v>14</v>
      </c>
      <c r="BD41" s="239">
        <f t="shared" si="17"/>
        <v>13</v>
      </c>
      <c r="BE41" s="239">
        <f t="shared" si="18"/>
        <v>12</v>
      </c>
      <c r="BF41" s="239">
        <f t="shared" si="19"/>
        <v>14</v>
      </c>
      <c r="BG41" s="232">
        <v>0.53287311597990084</v>
      </c>
      <c r="BH41" s="232">
        <f t="shared" si="20"/>
        <v>0.67</v>
      </c>
      <c r="BI41" s="411">
        <f>VLOOKUP($AY41,'Bar Sizes'!$D$26:$F$36,3,FALSE)</f>
        <v>0.31</v>
      </c>
      <c r="BJ41" s="381">
        <f t="shared" si="38"/>
        <v>5.5</v>
      </c>
      <c r="BK41" s="401">
        <f t="shared" si="21"/>
        <v>14.058823529411764</v>
      </c>
      <c r="BL41" s="401">
        <f t="shared" si="22"/>
        <v>15.294117647058826</v>
      </c>
      <c r="BM41" s="401">
        <f t="shared" si="23"/>
        <v>14.941176517647058</v>
      </c>
      <c r="BN41" s="401">
        <f t="shared" si="24"/>
        <v>14.470588235294116</v>
      </c>
      <c r="BO41" s="401">
        <f t="shared" si="25"/>
        <v>13.411764705882353</v>
      </c>
      <c r="BP41" s="401">
        <f t="shared" si="26"/>
        <v>15.882352941176471</v>
      </c>
      <c r="BR41" s="464">
        <f t="shared" si="39"/>
        <v>0.67</v>
      </c>
      <c r="BS41" s="464">
        <f t="shared" si="40"/>
        <v>0.66840798227521991</v>
      </c>
      <c r="BT41" s="464">
        <f t="shared" si="41"/>
        <v>0.67</v>
      </c>
      <c r="BU41" s="464">
        <f t="shared" si="42"/>
        <v>0.67</v>
      </c>
      <c r="BV41" s="464">
        <f t="shared" si="43"/>
        <v>0.67</v>
      </c>
      <c r="BW41" s="464">
        <f t="shared" si="44"/>
        <v>0.65591327339993821</v>
      </c>
      <c r="BX41" s="430"/>
      <c r="BY41" s="461">
        <f t="shared" si="45"/>
        <v>10</v>
      </c>
      <c r="BZ41" s="461">
        <f t="shared" si="46"/>
        <v>10</v>
      </c>
      <c r="CA41" s="461">
        <f t="shared" si="47"/>
        <v>9.8125</v>
      </c>
      <c r="CB41" s="461">
        <f t="shared" si="48"/>
        <v>10.25</v>
      </c>
      <c r="CC41" s="461">
        <f t="shared" si="49"/>
        <v>10.375</v>
      </c>
      <c r="CD41" s="461">
        <f t="shared" si="50"/>
        <v>10.4375</v>
      </c>
      <c r="CE41" s="430"/>
      <c r="CF41" s="430"/>
      <c r="CG41" t="s">
        <v>232</v>
      </c>
    </row>
    <row r="42" spans="3:86" x14ac:dyDescent="0.2">
      <c r="C42" s="267">
        <v>12</v>
      </c>
      <c r="D42" s="359">
        <v>8.01</v>
      </c>
      <c r="E42" s="334">
        <v>10.28</v>
      </c>
      <c r="F42" s="232">
        <v>9.4</v>
      </c>
      <c r="G42" s="233">
        <f t="shared" si="29"/>
        <v>8.7176666666666662</v>
      </c>
      <c r="H42" s="232">
        <v>8.51</v>
      </c>
      <c r="I42" s="233">
        <f t="shared" si="30"/>
        <v>8.304666666666666</v>
      </c>
      <c r="J42" s="232">
        <v>7.63</v>
      </c>
      <c r="K42" s="233">
        <f t="shared" si="31"/>
        <v>7.333333333333333</v>
      </c>
      <c r="L42" s="232">
        <v>6.74</v>
      </c>
      <c r="M42" s="233">
        <f t="shared" si="0"/>
        <v>6.15</v>
      </c>
      <c r="N42" s="232">
        <v>5.56</v>
      </c>
      <c r="O42" s="335">
        <v>5.21</v>
      </c>
      <c r="P42" s="375">
        <v>9</v>
      </c>
      <c r="Q42" s="371" t="s">
        <v>42</v>
      </c>
      <c r="R42" s="368" t="str">
        <f t="shared" si="51"/>
        <v># 6</v>
      </c>
      <c r="S42" s="346">
        <f t="shared" si="32"/>
        <v>1.6199999999999999</v>
      </c>
      <c r="T42" s="347">
        <f t="shared" si="1"/>
        <v>1.6199999999999999</v>
      </c>
      <c r="U42" s="347">
        <f t="shared" si="33"/>
        <v>0.28800000000000003</v>
      </c>
      <c r="V42" s="348">
        <f t="shared" si="2"/>
        <v>0.28800000000000003</v>
      </c>
      <c r="W42" s="312">
        <f t="shared" si="3"/>
        <v>16.474499999999999</v>
      </c>
      <c r="X42" s="320">
        <f t="shared" si="4"/>
        <v>9.9179999999999993</v>
      </c>
      <c r="Y42" s="246">
        <v>9.5</v>
      </c>
      <c r="Z42" s="247">
        <v>9.5</v>
      </c>
      <c r="AA42" s="307">
        <f t="shared" si="5"/>
        <v>14.251999999999999</v>
      </c>
      <c r="AB42" s="231">
        <f t="shared" si="6"/>
        <v>8.6479999999999997</v>
      </c>
      <c r="AC42" s="234">
        <v>9.5</v>
      </c>
      <c r="AD42" s="247">
        <v>6.75</v>
      </c>
      <c r="AE42" s="307">
        <f t="shared" si="34"/>
        <v>17.712916666666665</v>
      </c>
      <c r="AF42" s="231">
        <f t="shared" si="35"/>
        <v>10.625666666666666</v>
      </c>
      <c r="AG42" s="234">
        <v>7.5</v>
      </c>
      <c r="AH42" s="247">
        <v>5.75</v>
      </c>
      <c r="AI42" s="307">
        <f t="shared" si="36"/>
        <v>16.990166666666667</v>
      </c>
      <c r="AJ42" s="231">
        <f t="shared" si="37"/>
        <v>10.212666666666665</v>
      </c>
      <c r="AK42" s="234">
        <v>7.75</v>
      </c>
      <c r="AL42" s="247">
        <v>6</v>
      </c>
      <c r="AM42" s="312">
        <f t="shared" si="7"/>
        <v>15.290333333333333</v>
      </c>
      <c r="AN42" s="231">
        <f t="shared" si="8"/>
        <v>9.2413333333333334</v>
      </c>
      <c r="AO42" s="234">
        <v>8.75</v>
      </c>
      <c r="AP42" s="247">
        <v>6.5</v>
      </c>
      <c r="AQ42" s="312">
        <f t="shared" si="9"/>
        <v>13.2195</v>
      </c>
      <c r="AR42" s="231">
        <f t="shared" si="10"/>
        <v>8.0579999999999998</v>
      </c>
      <c r="AS42" s="234">
        <v>10.25</v>
      </c>
      <c r="AT42" s="247">
        <v>7</v>
      </c>
      <c r="AU42" s="312">
        <f t="shared" si="11"/>
        <v>18.907</v>
      </c>
      <c r="AV42" s="231">
        <f t="shared" si="12"/>
        <v>11.308</v>
      </c>
      <c r="AW42" s="234">
        <v>7</v>
      </c>
      <c r="AX42" s="247">
        <v>5.5</v>
      </c>
      <c r="AY42" s="345" t="s">
        <v>41</v>
      </c>
      <c r="AZ42" s="381">
        <f t="shared" si="13"/>
        <v>10.25</v>
      </c>
      <c r="BA42" s="239">
        <f t="shared" si="14"/>
        <v>13</v>
      </c>
      <c r="BB42" s="239">
        <f t="shared" si="15"/>
        <v>14</v>
      </c>
      <c r="BC42" s="239">
        <f t="shared" si="16"/>
        <v>14</v>
      </c>
      <c r="BD42" s="239">
        <f t="shared" si="17"/>
        <v>14</v>
      </c>
      <c r="BE42" s="239">
        <f t="shared" si="18"/>
        <v>13</v>
      </c>
      <c r="BF42" s="239">
        <f t="shared" si="19"/>
        <v>15</v>
      </c>
      <c r="BG42" s="232">
        <v>0.54441108683938488</v>
      </c>
      <c r="BH42" s="232">
        <f t="shared" si="20"/>
        <v>0.67</v>
      </c>
      <c r="BI42" s="411">
        <f>VLOOKUP($AY42,'Bar Sizes'!$D$26:$F$36,3,FALSE)</f>
        <v>0.31</v>
      </c>
      <c r="BJ42" s="381">
        <f t="shared" si="38"/>
        <v>5.5</v>
      </c>
      <c r="BK42" s="401">
        <f t="shared" si="21"/>
        <v>14.411764705882355</v>
      </c>
      <c r="BL42" s="401">
        <f t="shared" si="22"/>
        <v>15.647058823529413</v>
      </c>
      <c r="BM42" s="401">
        <f t="shared" si="23"/>
        <v>15.294117694117645</v>
      </c>
      <c r="BN42" s="401">
        <f t="shared" si="24"/>
        <v>14.823529411764707</v>
      </c>
      <c r="BO42" s="401">
        <f t="shared" si="25"/>
        <v>13.76470588235294</v>
      </c>
      <c r="BP42" s="401">
        <f t="shared" si="26"/>
        <v>16.235294117647058</v>
      </c>
      <c r="BR42" s="464">
        <f t="shared" si="39"/>
        <v>0.67</v>
      </c>
      <c r="BS42" s="464">
        <f t="shared" si="40"/>
        <v>0.66082655010472169</v>
      </c>
      <c r="BT42" s="464">
        <f t="shared" si="41"/>
        <v>0.66840798124689993</v>
      </c>
      <c r="BU42" s="464">
        <f t="shared" si="42"/>
        <v>0.67</v>
      </c>
      <c r="BV42" s="464">
        <f t="shared" si="43"/>
        <v>0.67</v>
      </c>
      <c r="BW42" s="464">
        <f t="shared" si="44"/>
        <v>0.64874460708154746</v>
      </c>
      <c r="BX42" s="430"/>
      <c r="BY42" s="461">
        <f t="shared" si="45"/>
        <v>10.25</v>
      </c>
      <c r="BZ42" s="461">
        <f t="shared" si="46"/>
        <v>10.25</v>
      </c>
      <c r="CA42" s="461">
        <f t="shared" si="47"/>
        <v>10</v>
      </c>
      <c r="CB42" s="461">
        <f t="shared" si="48"/>
        <v>9.75</v>
      </c>
      <c r="CC42" s="461">
        <f t="shared" si="49"/>
        <v>9.75</v>
      </c>
      <c r="CD42" s="461">
        <f t="shared" si="50"/>
        <v>9.875</v>
      </c>
      <c r="CE42" s="430"/>
      <c r="CF42" s="430"/>
      <c r="CH42" t="s">
        <v>236</v>
      </c>
    </row>
    <row r="43" spans="3:86" x14ac:dyDescent="0.2">
      <c r="C43" s="267">
        <v>12.25</v>
      </c>
      <c r="D43" s="359">
        <v>8.15</v>
      </c>
      <c r="E43" s="334">
        <v>10.55</v>
      </c>
      <c r="F43" s="232">
        <v>9.67</v>
      </c>
      <c r="G43" s="233">
        <f t="shared" si="29"/>
        <v>8.9876666666666658</v>
      </c>
      <c r="H43" s="232">
        <v>8.7799999999999994</v>
      </c>
      <c r="I43" s="233">
        <f t="shared" si="30"/>
        <v>8.5746666666666655</v>
      </c>
      <c r="J43" s="232">
        <v>7.9</v>
      </c>
      <c r="K43" s="233">
        <f t="shared" si="31"/>
        <v>7.6066666666666665</v>
      </c>
      <c r="L43" s="232">
        <v>7.02</v>
      </c>
      <c r="M43" s="233">
        <f t="shared" si="0"/>
        <v>6.3849999999999998</v>
      </c>
      <c r="N43" s="232">
        <v>5.75</v>
      </c>
      <c r="O43" s="335">
        <v>5.38</v>
      </c>
      <c r="P43" s="375">
        <v>9.5</v>
      </c>
      <c r="Q43" s="371" t="s">
        <v>42</v>
      </c>
      <c r="R43" s="368" t="str">
        <f t="shared" si="51"/>
        <v># 6</v>
      </c>
      <c r="S43" s="346">
        <f t="shared" si="32"/>
        <v>1.7819921874999998</v>
      </c>
      <c r="T43" s="347">
        <f t="shared" si="1"/>
        <v>1.7819921874999998</v>
      </c>
      <c r="U43" s="347">
        <f t="shared" si="33"/>
        <v>0.30012500000000003</v>
      </c>
      <c r="V43" s="348">
        <f t="shared" si="2"/>
        <v>0.30012500000000003</v>
      </c>
      <c r="W43" s="312">
        <f t="shared" si="3"/>
        <v>16.940177734375002</v>
      </c>
      <c r="X43" s="320">
        <f t="shared" si="4"/>
        <v>10.2321171875</v>
      </c>
      <c r="Y43" s="246">
        <v>10</v>
      </c>
      <c r="Z43" s="247">
        <v>9.75</v>
      </c>
      <c r="AA43" s="307">
        <f t="shared" si="5"/>
        <v>14.962677734374999</v>
      </c>
      <c r="AB43" s="231">
        <f t="shared" si="6"/>
        <v>9.1021171874999993</v>
      </c>
      <c r="AC43" s="234">
        <v>9.75</v>
      </c>
      <c r="AD43" s="247">
        <v>7</v>
      </c>
      <c r="AE43" s="307">
        <f t="shared" si="34"/>
        <v>18.406094401041663</v>
      </c>
      <c r="AF43" s="231">
        <f t="shared" si="35"/>
        <v>11.069783854166666</v>
      </c>
      <c r="AG43" s="234">
        <v>7.75</v>
      </c>
      <c r="AH43" s="247">
        <v>6.25</v>
      </c>
      <c r="AI43" s="307">
        <f t="shared" si="36"/>
        <v>17.683344401041666</v>
      </c>
      <c r="AJ43" s="231">
        <f t="shared" si="37"/>
        <v>10.656783854166665</v>
      </c>
      <c r="AK43" s="234">
        <v>8.25</v>
      </c>
      <c r="AL43" s="247">
        <v>6.25</v>
      </c>
      <c r="AM43" s="312">
        <f t="shared" si="7"/>
        <v>15.989344401041667</v>
      </c>
      <c r="AN43" s="231">
        <f t="shared" si="8"/>
        <v>9.6887838541666653</v>
      </c>
      <c r="AO43" s="234">
        <v>9</v>
      </c>
      <c r="AP43" s="247">
        <v>6.75</v>
      </c>
      <c r="AQ43" s="312">
        <f t="shared" si="9"/>
        <v>13.851427734375001</v>
      </c>
      <c r="AR43" s="231">
        <f t="shared" si="10"/>
        <v>8.4671171874999995</v>
      </c>
      <c r="AS43" s="234">
        <v>10.5</v>
      </c>
      <c r="AT43" s="247">
        <v>7.5</v>
      </c>
      <c r="AU43" s="312">
        <f t="shared" si="11"/>
        <v>19.600177734374999</v>
      </c>
      <c r="AV43" s="231">
        <f t="shared" si="12"/>
        <v>11.7521171875</v>
      </c>
      <c r="AW43" s="234">
        <v>7.25</v>
      </c>
      <c r="AX43" s="247">
        <v>6</v>
      </c>
      <c r="AY43" s="345" t="s">
        <v>41</v>
      </c>
      <c r="AZ43" s="381">
        <f t="shared" si="13"/>
        <v>10.6875</v>
      </c>
      <c r="BA43" s="239">
        <f t="shared" si="14"/>
        <v>13</v>
      </c>
      <c r="BB43" s="239">
        <f t="shared" si="15"/>
        <v>14</v>
      </c>
      <c r="BC43" s="239">
        <f t="shared" si="16"/>
        <v>14</v>
      </c>
      <c r="BD43" s="239">
        <f t="shared" si="17"/>
        <v>14</v>
      </c>
      <c r="BE43" s="239">
        <f t="shared" si="18"/>
        <v>13</v>
      </c>
      <c r="BF43" s="239">
        <f t="shared" si="19"/>
        <v>14</v>
      </c>
      <c r="BG43" s="232">
        <v>0.51975329266738757</v>
      </c>
      <c r="BH43" s="232">
        <f t="shared" si="20"/>
        <v>0.67</v>
      </c>
      <c r="BI43" s="411">
        <f>VLOOKUP($AY43,'Bar Sizes'!$D$26:$F$36,3,FALSE)</f>
        <v>0.31</v>
      </c>
      <c r="BJ43" s="381">
        <f t="shared" si="38"/>
        <v>6</v>
      </c>
      <c r="BK43" s="401">
        <f t="shared" si="21"/>
        <v>13.944444444444446</v>
      </c>
      <c r="BL43" s="401">
        <f t="shared" si="22"/>
        <v>15.111111111111111</v>
      </c>
      <c r="BM43" s="401">
        <f t="shared" si="23"/>
        <v>14.777777822222223</v>
      </c>
      <c r="BN43" s="401">
        <f t="shared" si="24"/>
        <v>14.333333333333332</v>
      </c>
      <c r="BO43" s="401">
        <f t="shared" si="25"/>
        <v>13.333333333333334</v>
      </c>
      <c r="BP43" s="401">
        <f t="shared" si="26"/>
        <v>15.666666666666668</v>
      </c>
      <c r="BR43" s="464">
        <f t="shared" si="39"/>
        <v>0.67</v>
      </c>
      <c r="BS43" s="464">
        <f t="shared" si="40"/>
        <v>0.65349737836460509</v>
      </c>
      <c r="BT43" s="464">
        <f t="shared" si="41"/>
        <v>0.66082654911099747</v>
      </c>
      <c r="BU43" s="464">
        <f t="shared" si="42"/>
        <v>0.67</v>
      </c>
      <c r="BV43" s="464">
        <f t="shared" si="43"/>
        <v>0.67</v>
      </c>
      <c r="BW43" s="464">
        <f t="shared" si="44"/>
        <v>0.64180596259073608</v>
      </c>
      <c r="BX43" s="430"/>
      <c r="BY43" s="461">
        <f t="shared" si="45"/>
        <v>10.5</v>
      </c>
      <c r="BZ43" s="461">
        <f t="shared" si="46"/>
        <v>10.5</v>
      </c>
      <c r="CA43" s="461">
        <f t="shared" si="47"/>
        <v>10.25</v>
      </c>
      <c r="CB43" s="461">
        <f t="shared" si="48"/>
        <v>9.9375</v>
      </c>
      <c r="CC43" s="461">
        <f t="shared" si="49"/>
        <v>10</v>
      </c>
      <c r="CD43" s="461">
        <f t="shared" si="50"/>
        <v>10.875</v>
      </c>
      <c r="CE43" s="430"/>
      <c r="CF43" s="430"/>
      <c r="CH43" t="s">
        <v>237</v>
      </c>
    </row>
    <row r="44" spans="3:86" x14ac:dyDescent="0.2">
      <c r="C44" s="267">
        <v>12.5</v>
      </c>
      <c r="D44" s="359">
        <v>8.2799999999999994</v>
      </c>
      <c r="E44" s="334">
        <v>10.81</v>
      </c>
      <c r="F44" s="232">
        <v>9.93</v>
      </c>
      <c r="G44" s="233">
        <f t="shared" si="29"/>
        <v>9.2476666666666656</v>
      </c>
      <c r="H44" s="232">
        <v>9.0399999999999991</v>
      </c>
      <c r="I44" s="233">
        <f t="shared" si="30"/>
        <v>8.8346666666666653</v>
      </c>
      <c r="J44" s="232">
        <v>8.16</v>
      </c>
      <c r="K44" s="233">
        <f t="shared" si="31"/>
        <v>7.8666666666666671</v>
      </c>
      <c r="L44" s="232">
        <v>7.28</v>
      </c>
      <c r="M44" s="233">
        <f t="shared" si="0"/>
        <v>6.625</v>
      </c>
      <c r="N44" s="232">
        <v>5.97</v>
      </c>
      <c r="O44" s="335">
        <v>5.54</v>
      </c>
      <c r="P44" s="375">
        <v>9.5</v>
      </c>
      <c r="Q44" s="371" t="s">
        <v>42</v>
      </c>
      <c r="R44" s="368" t="str">
        <f t="shared" si="51"/>
        <v># 6</v>
      </c>
      <c r="S44" s="346">
        <f t="shared" si="32"/>
        <v>1.8554687499999998</v>
      </c>
      <c r="T44" s="347">
        <f t="shared" si="1"/>
        <v>1.8554687499999998</v>
      </c>
      <c r="U44" s="347">
        <f t="shared" si="33"/>
        <v>0.3125</v>
      </c>
      <c r="V44" s="348">
        <f t="shared" si="2"/>
        <v>0.3125</v>
      </c>
      <c r="W44" s="312">
        <f t="shared" si="3"/>
        <v>17.278085937499998</v>
      </c>
      <c r="X44" s="320">
        <f t="shared" si="4"/>
        <v>10.447968749999999</v>
      </c>
      <c r="Y44" s="246">
        <v>9.75</v>
      </c>
      <c r="Z44" s="247">
        <v>9.75</v>
      </c>
      <c r="AA44" s="307">
        <f t="shared" si="5"/>
        <v>15.5280859375</v>
      </c>
      <c r="AB44" s="231">
        <f t="shared" si="6"/>
        <v>9.4479687500000011</v>
      </c>
      <c r="AC44" s="234">
        <v>9.5</v>
      </c>
      <c r="AD44" s="247">
        <v>6.75</v>
      </c>
      <c r="AE44" s="307">
        <f t="shared" si="34"/>
        <v>18.971502604166666</v>
      </c>
      <c r="AF44" s="231">
        <f t="shared" si="35"/>
        <v>11.415635416666666</v>
      </c>
      <c r="AG44" s="234">
        <v>7.5</v>
      </c>
      <c r="AH44" s="247">
        <v>6</v>
      </c>
      <c r="AI44" s="307">
        <f t="shared" si="36"/>
        <v>18.248752604166665</v>
      </c>
      <c r="AJ44" s="231">
        <f t="shared" si="37"/>
        <v>11.002635416666665</v>
      </c>
      <c r="AK44" s="234">
        <v>7.75</v>
      </c>
      <c r="AL44" s="247">
        <v>6.25</v>
      </c>
      <c r="AM44" s="312">
        <f t="shared" si="7"/>
        <v>16.554752604166666</v>
      </c>
      <c r="AN44" s="231">
        <f t="shared" si="8"/>
        <v>10.034635416666667</v>
      </c>
      <c r="AO44" s="234">
        <v>8.75</v>
      </c>
      <c r="AP44" s="247">
        <v>6.5</v>
      </c>
      <c r="AQ44" s="312">
        <f t="shared" si="9"/>
        <v>14.3818359375</v>
      </c>
      <c r="AR44" s="231">
        <f t="shared" si="10"/>
        <v>8.79296875</v>
      </c>
      <c r="AS44" s="234">
        <v>10.25</v>
      </c>
      <c r="AT44" s="247">
        <v>7.25</v>
      </c>
      <c r="AU44" s="312">
        <f t="shared" si="11"/>
        <v>20.165585937499998</v>
      </c>
      <c r="AV44" s="231">
        <f t="shared" si="12"/>
        <v>12.09796875</v>
      </c>
      <c r="AW44" s="234">
        <v>7</v>
      </c>
      <c r="AX44" s="247">
        <v>5.75</v>
      </c>
      <c r="AY44" s="345" t="s">
        <v>41</v>
      </c>
      <c r="AZ44" s="381">
        <f t="shared" si="13"/>
        <v>10.5</v>
      </c>
      <c r="BA44" s="239">
        <f t="shared" si="14"/>
        <v>14</v>
      </c>
      <c r="BB44" s="239">
        <f t="shared" si="15"/>
        <v>14</v>
      </c>
      <c r="BC44" s="239">
        <f t="shared" si="16"/>
        <v>14</v>
      </c>
      <c r="BD44" s="239">
        <f t="shared" si="17"/>
        <v>14</v>
      </c>
      <c r="BE44" s="239">
        <f t="shared" si="18"/>
        <v>13</v>
      </c>
      <c r="BF44" s="239">
        <f t="shared" si="19"/>
        <v>14</v>
      </c>
      <c r="BG44" s="232">
        <v>0.53071128181520899</v>
      </c>
      <c r="BH44" s="232">
        <f t="shared" si="20"/>
        <v>0.67</v>
      </c>
      <c r="BI44" s="411">
        <f>VLOOKUP($AY44,'Bar Sizes'!$D$26:$F$36,3,FALSE)</f>
        <v>0.31</v>
      </c>
      <c r="BJ44" s="381">
        <f t="shared" si="38"/>
        <v>6</v>
      </c>
      <c r="BK44" s="401">
        <f t="shared" si="21"/>
        <v>14.277777777777779</v>
      </c>
      <c r="BL44" s="401">
        <f t="shared" si="22"/>
        <v>15.444444444444446</v>
      </c>
      <c r="BM44" s="401">
        <f t="shared" si="23"/>
        <v>15.111111155555555</v>
      </c>
      <c r="BN44" s="401">
        <f t="shared" si="24"/>
        <v>14.666666666666668</v>
      </c>
      <c r="BO44" s="401">
        <f t="shared" si="25"/>
        <v>13.666666666666666</v>
      </c>
      <c r="BP44" s="401">
        <f t="shared" si="26"/>
        <v>16</v>
      </c>
      <c r="BR44" s="464">
        <f t="shared" si="39"/>
        <v>0.67</v>
      </c>
      <c r="BS44" s="464">
        <f t="shared" si="40"/>
        <v>0.64640678107419713</v>
      </c>
      <c r="BT44" s="464">
        <f t="shared" si="41"/>
        <v>0.65349737740357949</v>
      </c>
      <c r="BU44" s="464">
        <f t="shared" si="42"/>
        <v>0.66332495807108005</v>
      </c>
      <c r="BV44" s="464">
        <f t="shared" si="43"/>
        <v>0.67</v>
      </c>
      <c r="BW44" s="464">
        <f t="shared" si="44"/>
        <v>0.63508529610858833</v>
      </c>
      <c r="BX44" s="430"/>
      <c r="BY44" s="461">
        <f t="shared" si="45"/>
        <v>9.9375</v>
      </c>
      <c r="BZ44" s="461">
        <f t="shared" si="46"/>
        <v>10.75</v>
      </c>
      <c r="CA44" s="461">
        <f t="shared" si="47"/>
        <v>10.5</v>
      </c>
      <c r="CB44" s="461">
        <f t="shared" si="48"/>
        <v>10.1875</v>
      </c>
      <c r="CC44" s="461">
        <f t="shared" si="49"/>
        <v>10.25</v>
      </c>
      <c r="CD44" s="461">
        <f t="shared" si="50"/>
        <v>11.125</v>
      </c>
      <c r="CE44" s="430"/>
      <c r="CF44" s="430"/>
      <c r="CH44" t="s">
        <v>233</v>
      </c>
    </row>
    <row r="45" spans="3:86" x14ac:dyDescent="0.2">
      <c r="C45" s="267">
        <v>12.75</v>
      </c>
      <c r="D45" s="359">
        <v>8.41</v>
      </c>
      <c r="E45" s="334">
        <v>11.06</v>
      </c>
      <c r="F45" s="232">
        <v>10.18</v>
      </c>
      <c r="G45" s="233">
        <f t="shared" si="29"/>
        <v>9.5053333333333345</v>
      </c>
      <c r="H45" s="232">
        <v>9.3000000000000007</v>
      </c>
      <c r="I45" s="233">
        <f t="shared" si="30"/>
        <v>9.0946666666666669</v>
      </c>
      <c r="J45" s="232">
        <v>8.42</v>
      </c>
      <c r="K45" s="233">
        <f t="shared" si="31"/>
        <v>8.1266666666666669</v>
      </c>
      <c r="L45" s="232">
        <v>7.54</v>
      </c>
      <c r="M45" s="233">
        <f t="shared" si="0"/>
        <v>6.8599999999999994</v>
      </c>
      <c r="N45" s="232">
        <v>6.18</v>
      </c>
      <c r="O45" s="335">
        <v>5.7</v>
      </c>
      <c r="P45" s="375">
        <v>9.5</v>
      </c>
      <c r="Q45" s="371" t="s">
        <v>42</v>
      </c>
      <c r="R45" s="368" t="str">
        <f t="shared" si="51"/>
        <v># 6</v>
      </c>
      <c r="S45" s="346">
        <f t="shared" si="32"/>
        <v>1.9304296874999998</v>
      </c>
      <c r="T45" s="347">
        <f t="shared" si="1"/>
        <v>1.9304296874999998</v>
      </c>
      <c r="U45" s="347">
        <f t="shared" si="33"/>
        <v>0.325125</v>
      </c>
      <c r="V45" s="348">
        <f t="shared" si="2"/>
        <v>0.325125</v>
      </c>
      <c r="W45" s="312">
        <f t="shared" si="3"/>
        <v>17.618224609375002</v>
      </c>
      <c r="X45" s="320">
        <f t="shared" si="4"/>
        <v>10.6655546875</v>
      </c>
      <c r="Y45" s="246">
        <v>9.5</v>
      </c>
      <c r="Z45" s="247">
        <v>9.5</v>
      </c>
      <c r="AA45" s="307">
        <f t="shared" si="5"/>
        <v>16.095724609375001</v>
      </c>
      <c r="AB45" s="231">
        <f t="shared" si="6"/>
        <v>9.7955546874999992</v>
      </c>
      <c r="AC45" s="234">
        <v>9</v>
      </c>
      <c r="AD45" s="247">
        <v>6.75</v>
      </c>
      <c r="AE45" s="307">
        <f t="shared" si="34"/>
        <v>19.535057942708335</v>
      </c>
      <c r="AF45" s="231">
        <f t="shared" si="35"/>
        <v>11.760888020833335</v>
      </c>
      <c r="AG45" s="234">
        <v>7.25</v>
      </c>
      <c r="AH45" s="247">
        <v>6</v>
      </c>
      <c r="AI45" s="307">
        <f t="shared" si="36"/>
        <v>18.816391276041667</v>
      </c>
      <c r="AJ45" s="231">
        <f t="shared" si="37"/>
        <v>11.350221354166667</v>
      </c>
      <c r="AK45" s="234">
        <v>7.5</v>
      </c>
      <c r="AL45" s="247">
        <v>6</v>
      </c>
      <c r="AM45" s="312">
        <f t="shared" si="7"/>
        <v>17.122391276041668</v>
      </c>
      <c r="AN45" s="231">
        <f t="shared" si="8"/>
        <v>10.382221354166667</v>
      </c>
      <c r="AO45" s="234">
        <v>8.5</v>
      </c>
      <c r="AP45" s="247">
        <v>6.5</v>
      </c>
      <c r="AQ45" s="312">
        <f t="shared" si="9"/>
        <v>14.905724609375</v>
      </c>
      <c r="AR45" s="231">
        <f t="shared" si="10"/>
        <v>9.1155546874999995</v>
      </c>
      <c r="AS45" s="234">
        <v>9.75</v>
      </c>
      <c r="AT45" s="247">
        <v>7</v>
      </c>
      <c r="AU45" s="312">
        <f t="shared" si="11"/>
        <v>20.715724609374998</v>
      </c>
      <c r="AV45" s="231">
        <f t="shared" si="12"/>
        <v>12.4355546875</v>
      </c>
      <c r="AW45" s="234">
        <v>6.75</v>
      </c>
      <c r="AX45" s="247">
        <v>5.75</v>
      </c>
      <c r="AY45" s="345" t="s">
        <v>41</v>
      </c>
      <c r="AZ45" s="381">
        <f t="shared" si="13"/>
        <v>10.25</v>
      </c>
      <c r="BA45" s="239">
        <f t="shared" si="14"/>
        <v>14</v>
      </c>
      <c r="BB45" s="239">
        <f t="shared" si="15"/>
        <v>15</v>
      </c>
      <c r="BC45" s="239">
        <f t="shared" si="16"/>
        <v>15</v>
      </c>
      <c r="BD45" s="239">
        <f t="shared" si="17"/>
        <v>14</v>
      </c>
      <c r="BE45" s="239">
        <f t="shared" si="18"/>
        <v>14</v>
      </c>
      <c r="BF45" s="239">
        <f t="shared" si="19"/>
        <v>15</v>
      </c>
      <c r="BG45" s="232">
        <v>0.54176771990195949</v>
      </c>
      <c r="BH45" s="232">
        <f t="shared" si="20"/>
        <v>0.67</v>
      </c>
      <c r="BI45" s="411">
        <f>VLOOKUP($AY45,'Bar Sizes'!$D$26:$F$36,3,FALSE)</f>
        <v>0.31</v>
      </c>
      <c r="BJ45" s="381">
        <f t="shared" si="38"/>
        <v>6</v>
      </c>
      <c r="BK45" s="401">
        <f t="shared" si="21"/>
        <v>14.611111111111111</v>
      </c>
      <c r="BL45" s="401">
        <f t="shared" si="22"/>
        <v>15.777777777777779</v>
      </c>
      <c r="BM45" s="401">
        <f t="shared" si="23"/>
        <v>15.444444488888889</v>
      </c>
      <c r="BN45" s="401">
        <f t="shared" si="24"/>
        <v>15</v>
      </c>
      <c r="BO45" s="401">
        <f t="shared" si="25"/>
        <v>14</v>
      </c>
      <c r="BP45" s="401">
        <f t="shared" si="26"/>
        <v>16.333333333333336</v>
      </c>
      <c r="BR45" s="464">
        <f t="shared" si="39"/>
        <v>0.66458483566981985</v>
      </c>
      <c r="BS45" s="464">
        <f t="shared" si="40"/>
        <v>0.63954208970719217</v>
      </c>
      <c r="BT45" s="464">
        <f t="shared" si="41"/>
        <v>0.64640678014411546</v>
      </c>
      <c r="BU45" s="464">
        <f t="shared" si="42"/>
        <v>0.65591327339993821</v>
      </c>
      <c r="BV45" s="464">
        <f t="shared" si="43"/>
        <v>0.67</v>
      </c>
      <c r="BW45" s="464">
        <f t="shared" si="44"/>
        <v>0.62857142857142856</v>
      </c>
      <c r="BX45" s="430"/>
      <c r="BY45" s="461">
        <f t="shared" si="45"/>
        <v>10.125</v>
      </c>
      <c r="BZ45" s="461">
        <f t="shared" si="46"/>
        <v>10.1875</v>
      </c>
      <c r="CA45" s="461">
        <f t="shared" si="47"/>
        <v>9.9375</v>
      </c>
      <c r="CB45" s="461">
        <f t="shared" si="48"/>
        <v>10.4375</v>
      </c>
      <c r="CC45" s="461">
        <f t="shared" si="49"/>
        <v>9.75</v>
      </c>
      <c r="CD45" s="461">
        <f t="shared" si="50"/>
        <v>10.5</v>
      </c>
      <c r="CE45" s="430"/>
      <c r="CF45" s="430"/>
      <c r="CH45" t="s">
        <v>234</v>
      </c>
    </row>
    <row r="46" spans="3:86" x14ac:dyDescent="0.2">
      <c r="C46" s="267">
        <v>13</v>
      </c>
      <c r="D46" s="359">
        <v>8.5399999999999991</v>
      </c>
      <c r="E46" s="334">
        <v>11.31</v>
      </c>
      <c r="F46" s="232">
        <v>10.43</v>
      </c>
      <c r="G46" s="233">
        <f t="shared" si="29"/>
        <v>9.7553333333333345</v>
      </c>
      <c r="H46" s="232">
        <v>9.5500000000000007</v>
      </c>
      <c r="I46" s="233">
        <f t="shared" si="30"/>
        <v>9.3446666666666669</v>
      </c>
      <c r="J46" s="232">
        <v>8.67</v>
      </c>
      <c r="K46" s="233">
        <f t="shared" si="31"/>
        <v>8.3766666666666669</v>
      </c>
      <c r="L46" s="232">
        <v>7.79</v>
      </c>
      <c r="M46" s="233">
        <f t="shared" si="0"/>
        <v>7.085</v>
      </c>
      <c r="N46" s="232">
        <v>6.38</v>
      </c>
      <c r="O46" s="335">
        <v>5.86</v>
      </c>
      <c r="P46" s="375">
        <v>10</v>
      </c>
      <c r="Q46" s="371" t="s">
        <v>42</v>
      </c>
      <c r="R46" s="368" t="str">
        <f t="shared" si="51"/>
        <v># 6</v>
      </c>
      <c r="S46" s="346">
        <f t="shared" si="32"/>
        <v>2.1124999999999998</v>
      </c>
      <c r="T46" s="347">
        <f t="shared" si="1"/>
        <v>2.1124999999999998</v>
      </c>
      <c r="U46" s="347">
        <f t="shared" si="33"/>
        <v>0.33800000000000002</v>
      </c>
      <c r="V46" s="348">
        <f t="shared" si="2"/>
        <v>0.33800000000000002</v>
      </c>
      <c r="W46" s="312">
        <f t="shared" si="3"/>
        <v>18.092624999999998</v>
      </c>
      <c r="X46" s="320">
        <f t="shared" si="4"/>
        <v>10.990499999999999</v>
      </c>
      <c r="Y46" s="246">
        <v>10</v>
      </c>
      <c r="Z46" s="247">
        <v>9.75</v>
      </c>
      <c r="AA46" s="307">
        <f t="shared" si="5"/>
        <v>16.780125000000002</v>
      </c>
      <c r="AB46" s="231">
        <f t="shared" si="6"/>
        <v>10.240500000000001</v>
      </c>
      <c r="AC46" s="234">
        <v>9.5</v>
      </c>
      <c r="AD46" s="247">
        <v>7</v>
      </c>
      <c r="AE46" s="307">
        <f t="shared" si="34"/>
        <v>20.219458333333336</v>
      </c>
      <c r="AF46" s="231">
        <f t="shared" si="35"/>
        <v>12.205833333333334</v>
      </c>
      <c r="AG46" s="234">
        <v>7.75</v>
      </c>
      <c r="AH46" s="247">
        <v>6.25</v>
      </c>
      <c r="AI46" s="307">
        <f t="shared" si="36"/>
        <v>19.500791666666668</v>
      </c>
      <c r="AJ46" s="231">
        <f t="shared" si="37"/>
        <v>11.795166666666667</v>
      </c>
      <c r="AK46" s="234">
        <v>8</v>
      </c>
      <c r="AL46" s="247">
        <v>6.25</v>
      </c>
      <c r="AM46" s="312">
        <f t="shared" si="7"/>
        <v>17.806791666666669</v>
      </c>
      <c r="AN46" s="231">
        <f t="shared" si="8"/>
        <v>10.827166666666667</v>
      </c>
      <c r="AO46" s="234">
        <v>8.75</v>
      </c>
      <c r="AP46" s="247">
        <v>6.75</v>
      </c>
      <c r="AQ46" s="312">
        <f t="shared" si="9"/>
        <v>15.546374999999999</v>
      </c>
      <c r="AR46" s="231">
        <f t="shared" si="10"/>
        <v>9.535499999999999</v>
      </c>
      <c r="AS46" s="234">
        <v>10.25</v>
      </c>
      <c r="AT46" s="247">
        <v>7.25</v>
      </c>
      <c r="AU46" s="312">
        <f t="shared" si="11"/>
        <v>21.400124999999999</v>
      </c>
      <c r="AV46" s="231">
        <f t="shared" si="12"/>
        <v>12.8805</v>
      </c>
      <c r="AW46" s="234">
        <v>7.25</v>
      </c>
      <c r="AX46" s="247">
        <v>6</v>
      </c>
      <c r="AY46" s="345" t="s">
        <v>41</v>
      </c>
      <c r="AZ46" s="381">
        <f t="shared" si="13"/>
        <v>10.75</v>
      </c>
      <c r="BA46" s="239">
        <f t="shared" si="14"/>
        <v>14</v>
      </c>
      <c r="BB46" s="239">
        <f t="shared" si="15"/>
        <v>14</v>
      </c>
      <c r="BC46" s="239">
        <f t="shared" si="16"/>
        <v>14</v>
      </c>
      <c r="BD46" s="239">
        <f t="shared" si="17"/>
        <v>14</v>
      </c>
      <c r="BE46" s="239">
        <f t="shared" si="18"/>
        <v>14</v>
      </c>
      <c r="BF46" s="239">
        <f t="shared" si="19"/>
        <v>14</v>
      </c>
      <c r="BG46" s="232">
        <v>0.51924015091947617</v>
      </c>
      <c r="BH46" s="232">
        <f t="shared" si="20"/>
        <v>0.67</v>
      </c>
      <c r="BI46" s="411">
        <f>VLOOKUP($AY46,'Bar Sizes'!$D$26:$F$36,3,FALSE)</f>
        <v>0.31</v>
      </c>
      <c r="BJ46" s="381">
        <f t="shared" si="38"/>
        <v>6.5</v>
      </c>
      <c r="BK46" s="401">
        <f t="shared" si="21"/>
        <v>14.157894736842106</v>
      </c>
      <c r="BL46" s="401">
        <f t="shared" si="22"/>
        <v>15.263157894736842</v>
      </c>
      <c r="BM46" s="401">
        <f t="shared" si="23"/>
        <v>14.947368463157893</v>
      </c>
      <c r="BN46" s="401">
        <f t="shared" si="24"/>
        <v>14.526315789473685</v>
      </c>
      <c r="BO46" s="401">
        <f t="shared" si="25"/>
        <v>13.578947368421051</v>
      </c>
      <c r="BP46" s="401">
        <f t="shared" si="26"/>
        <v>15.789473684210527</v>
      </c>
      <c r="BR46" s="464">
        <f t="shared" si="39"/>
        <v>0.6571313120969734</v>
      </c>
      <c r="BS46" s="464">
        <f t="shared" si="40"/>
        <v>0.63289155796070706</v>
      </c>
      <c r="BT46" s="464">
        <f t="shared" si="41"/>
        <v>0.63954208880642871</v>
      </c>
      <c r="BU46" s="464">
        <f t="shared" si="42"/>
        <v>0.64874460708154746</v>
      </c>
      <c r="BV46" s="464">
        <f t="shared" si="43"/>
        <v>0.67</v>
      </c>
      <c r="BW46" s="464">
        <f t="shared" si="44"/>
        <v>0.62225396744416184</v>
      </c>
      <c r="BX46" s="430"/>
      <c r="BY46" s="461">
        <f t="shared" si="45"/>
        <v>10.375</v>
      </c>
      <c r="BZ46" s="461">
        <f t="shared" si="46"/>
        <v>11.1875</v>
      </c>
      <c r="CA46" s="461">
        <f t="shared" si="47"/>
        <v>10.9375</v>
      </c>
      <c r="CB46" s="461">
        <f t="shared" si="48"/>
        <v>10.625</v>
      </c>
      <c r="CC46" s="461">
        <f t="shared" si="49"/>
        <v>9.9375</v>
      </c>
      <c r="CD46" s="461">
        <f t="shared" si="50"/>
        <v>11.5625</v>
      </c>
      <c r="CE46" s="430"/>
      <c r="CF46" s="430"/>
      <c r="CH46" t="s">
        <v>235</v>
      </c>
    </row>
    <row r="47" spans="3:86" x14ac:dyDescent="0.2">
      <c r="C47" s="267">
        <v>13.25</v>
      </c>
      <c r="D47" s="359">
        <v>8.66</v>
      </c>
      <c r="E47" s="334">
        <v>11.55</v>
      </c>
      <c r="F47" s="232">
        <v>10.67</v>
      </c>
      <c r="G47" s="233">
        <f t="shared" si="29"/>
        <v>10.003</v>
      </c>
      <c r="H47" s="232">
        <v>9.8000000000000007</v>
      </c>
      <c r="I47" s="233">
        <f t="shared" si="30"/>
        <v>9.5946666666666669</v>
      </c>
      <c r="J47" s="232">
        <v>8.92</v>
      </c>
      <c r="K47" s="233">
        <f t="shared" si="31"/>
        <v>8.6266666666666669</v>
      </c>
      <c r="L47" s="232">
        <v>8.0399999999999991</v>
      </c>
      <c r="M47" s="233">
        <f t="shared" si="0"/>
        <v>7.3149999999999995</v>
      </c>
      <c r="N47" s="232">
        <v>6.59</v>
      </c>
      <c r="O47" s="335">
        <v>6.01</v>
      </c>
      <c r="P47" s="375">
        <v>10</v>
      </c>
      <c r="Q47" s="371" t="s">
        <v>42</v>
      </c>
      <c r="R47" s="368" t="str">
        <f t="shared" si="51"/>
        <v># 6</v>
      </c>
      <c r="S47" s="346">
        <f t="shared" si="32"/>
        <v>2.1945312499999998</v>
      </c>
      <c r="T47" s="347">
        <f t="shared" si="1"/>
        <v>2.1945312499999998</v>
      </c>
      <c r="U47" s="347">
        <f t="shared" si="33"/>
        <v>0.35112500000000002</v>
      </c>
      <c r="V47" s="348">
        <f t="shared" si="2"/>
        <v>0.35112500000000002</v>
      </c>
      <c r="W47" s="312">
        <f t="shared" si="3"/>
        <v>18.424851562500002</v>
      </c>
      <c r="X47" s="320">
        <f t="shared" si="4"/>
        <v>11.205656250000001</v>
      </c>
      <c r="Y47" s="246">
        <v>9.75</v>
      </c>
      <c r="Z47" s="247">
        <v>9.75</v>
      </c>
      <c r="AA47" s="307">
        <f t="shared" si="5"/>
        <v>17.339851562499998</v>
      </c>
      <c r="AB47" s="231">
        <f t="shared" si="6"/>
        <v>10.58565625</v>
      </c>
      <c r="AC47" s="234">
        <v>9</v>
      </c>
      <c r="AD47" s="247">
        <v>6.75</v>
      </c>
      <c r="AE47" s="307">
        <f t="shared" si="34"/>
        <v>20.775101562500002</v>
      </c>
      <c r="AF47" s="231">
        <f t="shared" si="35"/>
        <v>12.548656250000001</v>
      </c>
      <c r="AG47" s="234">
        <v>7.5</v>
      </c>
      <c r="AH47" s="247">
        <v>6</v>
      </c>
      <c r="AI47" s="307">
        <f t="shared" si="36"/>
        <v>20.060518229166668</v>
      </c>
      <c r="AJ47" s="231">
        <f t="shared" si="37"/>
        <v>12.140322916666667</v>
      </c>
      <c r="AK47" s="234">
        <v>7.75</v>
      </c>
      <c r="AL47" s="247">
        <v>6.25</v>
      </c>
      <c r="AM47" s="312">
        <f t="shared" si="7"/>
        <v>18.366518229166669</v>
      </c>
      <c r="AN47" s="231">
        <f t="shared" si="8"/>
        <v>11.172322916666667</v>
      </c>
      <c r="AO47" s="234">
        <v>8.5</v>
      </c>
      <c r="AP47" s="247">
        <v>6.5</v>
      </c>
      <c r="AQ47" s="312">
        <f t="shared" si="9"/>
        <v>16.071101562500001</v>
      </c>
      <c r="AR47" s="231">
        <f t="shared" si="10"/>
        <v>9.8606562499999999</v>
      </c>
      <c r="AS47" s="234">
        <v>9.75</v>
      </c>
      <c r="AT47" s="247">
        <v>7.25</v>
      </c>
      <c r="AU47" s="312">
        <f t="shared" si="11"/>
        <v>21.942351562500001</v>
      </c>
      <c r="AV47" s="231">
        <f t="shared" si="12"/>
        <v>13.21565625</v>
      </c>
      <c r="AW47" s="234">
        <v>7</v>
      </c>
      <c r="AX47" s="247">
        <v>5.75</v>
      </c>
      <c r="AY47" s="345" t="s">
        <v>41</v>
      </c>
      <c r="AZ47" s="381">
        <f t="shared" si="13"/>
        <v>10.625</v>
      </c>
      <c r="BA47" s="239">
        <f t="shared" si="14"/>
        <v>14</v>
      </c>
      <c r="BB47" s="239">
        <f t="shared" si="15"/>
        <v>15</v>
      </c>
      <c r="BC47" s="239">
        <f t="shared" si="16"/>
        <v>15</v>
      </c>
      <c r="BD47" s="239">
        <f t="shared" si="17"/>
        <v>14</v>
      </c>
      <c r="BE47" s="239">
        <f t="shared" si="18"/>
        <v>14</v>
      </c>
      <c r="BF47" s="239">
        <f t="shared" si="19"/>
        <v>15</v>
      </c>
      <c r="BG47" s="232">
        <v>0.52927928956525139</v>
      </c>
      <c r="BH47" s="232">
        <f t="shared" si="20"/>
        <v>0.66332495807108005</v>
      </c>
      <c r="BI47" s="411">
        <f>VLOOKUP($AY47,'Bar Sizes'!$D$26:$F$36,3,FALSE)</f>
        <v>0.31</v>
      </c>
      <c r="BJ47" s="381">
        <f t="shared" si="38"/>
        <v>6.5</v>
      </c>
      <c r="BK47" s="401">
        <f t="shared" si="21"/>
        <v>14.473684210526317</v>
      </c>
      <c r="BL47" s="401">
        <f t="shared" si="22"/>
        <v>15.578947368421053</v>
      </c>
      <c r="BM47" s="401">
        <f t="shared" si="23"/>
        <v>15.263157936842106</v>
      </c>
      <c r="BN47" s="401">
        <f t="shared" si="24"/>
        <v>14.842105263157896</v>
      </c>
      <c r="BO47" s="401">
        <f t="shared" si="25"/>
        <v>13.894736842105264</v>
      </c>
      <c r="BP47" s="401">
        <f t="shared" si="26"/>
        <v>16.105263157894736</v>
      </c>
      <c r="BR47" s="464">
        <f t="shared" si="39"/>
        <v>0.64992307237087688</v>
      </c>
      <c r="BS47" s="464">
        <f t="shared" si="40"/>
        <v>0.6264442771966493</v>
      </c>
      <c r="BT47" s="464">
        <f t="shared" si="41"/>
        <v>0.63289155708775324</v>
      </c>
      <c r="BU47" s="464">
        <f t="shared" si="42"/>
        <v>0.64180596259073608</v>
      </c>
      <c r="BV47" s="464">
        <f t="shared" si="43"/>
        <v>0.66332495807108005</v>
      </c>
      <c r="BW47" s="464">
        <f t="shared" si="44"/>
        <v>0.6161232369723243</v>
      </c>
      <c r="BX47" s="430"/>
      <c r="BY47" s="461">
        <f t="shared" si="45"/>
        <v>10.625</v>
      </c>
      <c r="BZ47" s="461">
        <f t="shared" si="46"/>
        <v>10.625</v>
      </c>
      <c r="CA47" s="461">
        <f t="shared" si="47"/>
        <v>10.375</v>
      </c>
      <c r="CB47" s="461">
        <f t="shared" si="48"/>
        <v>10.875</v>
      </c>
      <c r="CC47" s="461">
        <f t="shared" si="49"/>
        <v>10.1875</v>
      </c>
      <c r="CD47" s="461">
        <f t="shared" si="50"/>
        <v>10.9375</v>
      </c>
      <c r="CE47" s="430"/>
      <c r="CF47" s="430"/>
    </row>
    <row r="48" spans="3:86" x14ac:dyDescent="0.2">
      <c r="C48" s="267">
        <v>13.5</v>
      </c>
      <c r="D48" s="359">
        <v>8.7799999999999994</v>
      </c>
      <c r="E48" s="334">
        <v>11.79</v>
      </c>
      <c r="F48" s="232">
        <v>10.91</v>
      </c>
      <c r="G48" s="233">
        <f t="shared" si="29"/>
        <v>10.235333333333333</v>
      </c>
      <c r="H48" s="232">
        <v>10.029999999999999</v>
      </c>
      <c r="I48" s="233">
        <f t="shared" si="30"/>
        <v>9.827</v>
      </c>
      <c r="J48" s="232">
        <v>9.16</v>
      </c>
      <c r="K48" s="233">
        <f t="shared" si="31"/>
        <v>8.8666666666666671</v>
      </c>
      <c r="L48" s="232">
        <v>8.2799999999999994</v>
      </c>
      <c r="M48" s="233">
        <f t="shared" si="0"/>
        <v>7.5350000000000001</v>
      </c>
      <c r="N48" s="232">
        <v>6.79</v>
      </c>
      <c r="O48" s="335">
        <v>6.16</v>
      </c>
      <c r="P48" s="375">
        <v>10</v>
      </c>
      <c r="Q48" s="371" t="s">
        <v>42</v>
      </c>
      <c r="R48" s="368" t="str">
        <f t="shared" si="51"/>
        <v># 6</v>
      </c>
      <c r="S48" s="346">
        <f t="shared" si="32"/>
        <v>2.2781249999999997</v>
      </c>
      <c r="T48" s="347">
        <f t="shared" si="1"/>
        <v>2.2781249999999997</v>
      </c>
      <c r="U48" s="347">
        <f t="shared" si="33"/>
        <v>0.36449999999999999</v>
      </c>
      <c r="V48" s="348">
        <f t="shared" si="2"/>
        <v>0.36449999999999999</v>
      </c>
      <c r="W48" s="312">
        <f t="shared" si="3"/>
        <v>18.759406249999998</v>
      </c>
      <c r="X48" s="320">
        <f t="shared" si="4"/>
        <v>11.422625</v>
      </c>
      <c r="Y48" s="246">
        <v>9.75</v>
      </c>
      <c r="Z48" s="247">
        <v>9.5</v>
      </c>
      <c r="AA48" s="307">
        <f t="shared" si="5"/>
        <v>17.884406249999998</v>
      </c>
      <c r="AB48" s="231">
        <f t="shared" si="6"/>
        <v>10.922625</v>
      </c>
      <c r="AC48" s="234">
        <v>8.75</v>
      </c>
      <c r="AD48" s="247">
        <v>6.75</v>
      </c>
      <c r="AE48" s="307">
        <f t="shared" si="34"/>
        <v>21.306239583333333</v>
      </c>
      <c r="AF48" s="231">
        <f t="shared" si="35"/>
        <v>12.877958333333332</v>
      </c>
      <c r="AG48" s="234">
        <v>7.25</v>
      </c>
      <c r="AH48" s="247">
        <v>6</v>
      </c>
      <c r="AI48" s="307">
        <f t="shared" si="36"/>
        <v>20.59165625</v>
      </c>
      <c r="AJ48" s="231">
        <f t="shared" si="37"/>
        <v>12.469625000000001</v>
      </c>
      <c r="AK48" s="234">
        <v>7.5</v>
      </c>
      <c r="AL48" s="247">
        <v>6</v>
      </c>
      <c r="AM48" s="312">
        <f t="shared" si="7"/>
        <v>18.911072916666669</v>
      </c>
      <c r="AN48" s="231">
        <f t="shared" si="8"/>
        <v>11.509291666666666</v>
      </c>
      <c r="AO48" s="234">
        <v>8.25</v>
      </c>
      <c r="AP48" s="247">
        <v>6.5</v>
      </c>
      <c r="AQ48" s="312">
        <f t="shared" si="9"/>
        <v>16.580656250000001</v>
      </c>
      <c r="AR48" s="231">
        <f t="shared" si="10"/>
        <v>10.177624999999999</v>
      </c>
      <c r="AS48" s="234">
        <v>9.5</v>
      </c>
      <c r="AT48" s="247">
        <v>7</v>
      </c>
      <c r="AU48" s="312">
        <f t="shared" si="11"/>
        <v>22.486906250000001</v>
      </c>
      <c r="AV48" s="231">
        <f t="shared" si="12"/>
        <v>13.552624999999999</v>
      </c>
      <c r="AW48" s="234">
        <v>6.75</v>
      </c>
      <c r="AX48" s="247">
        <v>5.75</v>
      </c>
      <c r="AY48" s="345" t="s">
        <v>41</v>
      </c>
      <c r="AZ48" s="381">
        <f t="shared" si="13"/>
        <v>10.5625</v>
      </c>
      <c r="BA48" s="239">
        <f t="shared" si="14"/>
        <v>15</v>
      </c>
      <c r="BB48" s="239">
        <f t="shared" si="15"/>
        <v>15</v>
      </c>
      <c r="BC48" s="239">
        <f t="shared" si="16"/>
        <v>15</v>
      </c>
      <c r="BD48" s="239">
        <f t="shared" si="17"/>
        <v>15</v>
      </c>
      <c r="BE48" s="239">
        <f t="shared" si="18"/>
        <v>14</v>
      </c>
      <c r="BF48" s="239">
        <f t="shared" si="19"/>
        <v>15</v>
      </c>
      <c r="BG48" s="232">
        <v>0.53940920696899175</v>
      </c>
      <c r="BH48" s="232">
        <f t="shared" si="20"/>
        <v>0.65591327339993821</v>
      </c>
      <c r="BI48" s="411">
        <f>VLOOKUP($AY48,'Bar Sizes'!$D$26:$F$36,3,FALSE)</f>
        <v>0.31</v>
      </c>
      <c r="BJ48" s="381">
        <f t="shared" si="38"/>
        <v>6.5</v>
      </c>
      <c r="BK48" s="401">
        <f t="shared" si="21"/>
        <v>14.789473684210527</v>
      </c>
      <c r="BL48" s="401">
        <f t="shared" si="22"/>
        <v>15.894736842105264</v>
      </c>
      <c r="BM48" s="401">
        <f t="shared" si="23"/>
        <v>15.578947410526316</v>
      </c>
      <c r="BN48" s="401">
        <f t="shared" si="24"/>
        <v>15.157894736842104</v>
      </c>
      <c r="BO48" s="401">
        <f t="shared" si="25"/>
        <v>14.210526315789473</v>
      </c>
      <c r="BP48" s="401">
        <f t="shared" si="26"/>
        <v>16.421052631578949</v>
      </c>
      <c r="BR48" s="464">
        <f t="shared" si="39"/>
        <v>0.64294695186939765</v>
      </c>
      <c r="BS48" s="464">
        <f t="shared" si="40"/>
        <v>0.62019010117012019</v>
      </c>
      <c r="BT48" s="464">
        <f t="shared" si="41"/>
        <v>0.62644427635010302</v>
      </c>
      <c r="BU48" s="464">
        <f t="shared" si="42"/>
        <v>0.63508529610858833</v>
      </c>
      <c r="BV48" s="464">
        <f t="shared" si="43"/>
        <v>0.65591327339993821</v>
      </c>
      <c r="BW48" s="464">
        <f t="shared" si="44"/>
        <v>0.61017021584775211</v>
      </c>
      <c r="BX48" s="430"/>
      <c r="BY48" s="461">
        <f t="shared" si="45"/>
        <v>10.0625</v>
      </c>
      <c r="BZ48" s="461">
        <f t="shared" si="46"/>
        <v>10.8125</v>
      </c>
      <c r="CA48" s="461">
        <f t="shared" si="47"/>
        <v>10.625</v>
      </c>
      <c r="CB48" s="461">
        <f t="shared" si="48"/>
        <v>10.3125</v>
      </c>
      <c r="CC48" s="461">
        <f t="shared" si="49"/>
        <v>10.4375</v>
      </c>
      <c r="CD48" s="461">
        <f t="shared" si="50"/>
        <v>11.1875</v>
      </c>
      <c r="CE48" s="430"/>
      <c r="CF48" s="430"/>
    </row>
    <row r="49" spans="3:89" x14ac:dyDescent="0.2">
      <c r="C49" s="267">
        <v>13.75</v>
      </c>
      <c r="D49" s="359">
        <v>8.9</v>
      </c>
      <c r="E49" s="334">
        <v>12.02</v>
      </c>
      <c r="F49" s="232">
        <v>11.14</v>
      </c>
      <c r="G49" s="233">
        <f t="shared" si="29"/>
        <v>10.472999999999999</v>
      </c>
      <c r="H49" s="232">
        <v>10.27</v>
      </c>
      <c r="I49" s="233">
        <f t="shared" si="30"/>
        <v>10.067</v>
      </c>
      <c r="J49" s="232">
        <v>9.4</v>
      </c>
      <c r="K49" s="233">
        <f t="shared" si="31"/>
        <v>9.1066666666666674</v>
      </c>
      <c r="L49" s="232">
        <v>8.52</v>
      </c>
      <c r="M49" s="233">
        <f t="shared" si="0"/>
        <v>7.7549999999999999</v>
      </c>
      <c r="N49" s="232">
        <v>6.99</v>
      </c>
      <c r="O49" s="335">
        <v>6.3</v>
      </c>
      <c r="P49" s="375">
        <v>10.5</v>
      </c>
      <c r="Q49" s="371" t="s">
        <v>42</v>
      </c>
      <c r="R49" s="368" t="str">
        <f t="shared" si="51"/>
        <v># 6</v>
      </c>
      <c r="S49" s="346">
        <f t="shared" si="32"/>
        <v>2.4814453125</v>
      </c>
      <c r="T49" s="347">
        <f t="shared" si="1"/>
        <v>2.4814453125</v>
      </c>
      <c r="U49" s="347">
        <f t="shared" si="33"/>
        <v>0.37812499999999999</v>
      </c>
      <c r="V49" s="348">
        <f t="shared" si="2"/>
        <v>0.37812499999999999</v>
      </c>
      <c r="W49" s="312">
        <f t="shared" si="3"/>
        <v>19.243994140625002</v>
      </c>
      <c r="X49" s="320">
        <f t="shared" si="4"/>
        <v>11.759570312499999</v>
      </c>
      <c r="Y49" s="246">
        <v>10</v>
      </c>
      <c r="Z49" s="247">
        <v>9.75</v>
      </c>
      <c r="AA49" s="307">
        <f t="shared" si="5"/>
        <v>18.578994140624999</v>
      </c>
      <c r="AB49" s="231">
        <f t="shared" si="6"/>
        <v>11.3795703125</v>
      </c>
      <c r="AC49" s="234">
        <v>9</v>
      </c>
      <c r="AD49" s="247">
        <v>7</v>
      </c>
      <c r="AE49" s="307">
        <f t="shared" si="34"/>
        <v>21.996744140624997</v>
      </c>
      <c r="AF49" s="231">
        <f t="shared" si="35"/>
        <v>13.3325703125</v>
      </c>
      <c r="AG49" s="234">
        <v>7.5</v>
      </c>
      <c r="AH49" s="247">
        <v>6.25</v>
      </c>
      <c r="AI49" s="307">
        <f t="shared" si="36"/>
        <v>21.286244140624998</v>
      </c>
      <c r="AJ49" s="231">
        <f t="shared" si="37"/>
        <v>12.926570312500001</v>
      </c>
      <c r="AK49" s="234">
        <v>7.75</v>
      </c>
      <c r="AL49" s="247">
        <v>6.25</v>
      </c>
      <c r="AM49" s="312">
        <f t="shared" si="7"/>
        <v>19.605660807291667</v>
      </c>
      <c r="AN49" s="231">
        <f t="shared" si="8"/>
        <v>11.966236979166666</v>
      </c>
      <c r="AO49" s="234">
        <v>8.5</v>
      </c>
      <c r="AP49" s="247">
        <v>6.75</v>
      </c>
      <c r="AQ49" s="312">
        <f t="shared" si="9"/>
        <v>17.240244140624998</v>
      </c>
      <c r="AR49" s="231">
        <f t="shared" si="10"/>
        <v>10.6145703125</v>
      </c>
      <c r="AS49" s="234">
        <v>9.75</v>
      </c>
      <c r="AT49" s="247">
        <v>7.25</v>
      </c>
      <c r="AU49" s="312">
        <f t="shared" si="11"/>
        <v>23.163994140625</v>
      </c>
      <c r="AV49" s="231">
        <f t="shared" si="12"/>
        <v>13.999570312500001</v>
      </c>
      <c r="AW49" s="234">
        <v>7.25</v>
      </c>
      <c r="AX49" s="247">
        <v>6</v>
      </c>
      <c r="AY49" s="345" t="s">
        <v>41</v>
      </c>
      <c r="AZ49" s="381">
        <f t="shared" si="13"/>
        <v>11.0625</v>
      </c>
      <c r="BA49" s="239">
        <f t="shared" si="14"/>
        <v>14</v>
      </c>
      <c r="BB49" s="239">
        <f t="shared" si="15"/>
        <v>15</v>
      </c>
      <c r="BC49" s="239">
        <f t="shared" si="16"/>
        <v>15</v>
      </c>
      <c r="BD49" s="239">
        <f t="shared" si="17"/>
        <v>14</v>
      </c>
      <c r="BE49" s="239">
        <f t="shared" si="18"/>
        <v>14</v>
      </c>
      <c r="BF49" s="239">
        <f t="shared" si="19"/>
        <v>15</v>
      </c>
      <c r="BG49" s="232">
        <v>0.51876185281754528</v>
      </c>
      <c r="BH49" s="232">
        <f t="shared" si="20"/>
        <v>0.64874460708154746</v>
      </c>
      <c r="BI49" s="411">
        <f>VLOOKUP($AY49,'Bar Sizes'!$D$26:$F$36,3,FALSE)</f>
        <v>0.31</v>
      </c>
      <c r="BJ49" s="381">
        <f t="shared" si="38"/>
        <v>7</v>
      </c>
      <c r="BK49" s="401">
        <f t="shared" si="21"/>
        <v>14.35</v>
      </c>
      <c r="BL49" s="401">
        <f t="shared" si="22"/>
        <v>15.400000000000002</v>
      </c>
      <c r="BM49" s="401">
        <f t="shared" si="23"/>
        <v>15.100000040000001</v>
      </c>
      <c r="BN49" s="401">
        <f t="shared" si="24"/>
        <v>14.700000000000001</v>
      </c>
      <c r="BO49" s="401">
        <f t="shared" si="25"/>
        <v>13.799999999999999</v>
      </c>
      <c r="BP49" s="401">
        <f t="shared" si="26"/>
        <v>15.899999999999999</v>
      </c>
      <c r="BR49" s="464">
        <f t="shared" si="39"/>
        <v>0.63619075437968142</v>
      </c>
      <c r="BS49" s="464">
        <f t="shared" si="40"/>
        <v>0.61411957886299073</v>
      </c>
      <c r="BT49" s="464">
        <f t="shared" si="41"/>
        <v>0.62019010034867639</v>
      </c>
      <c r="BU49" s="464">
        <f t="shared" si="42"/>
        <v>0.62857142857142856</v>
      </c>
      <c r="BV49" s="464">
        <f t="shared" si="43"/>
        <v>0.64874460708154746</v>
      </c>
      <c r="BW49" s="464">
        <f t="shared" si="44"/>
        <v>0.60438648137423168</v>
      </c>
      <c r="BX49" s="430"/>
      <c r="BY49" s="461">
        <f t="shared" si="45"/>
        <v>11.0625</v>
      </c>
      <c r="BZ49" s="461">
        <f t="shared" si="46"/>
        <v>11</v>
      </c>
      <c r="CA49" s="461">
        <f t="shared" si="47"/>
        <v>10.8125</v>
      </c>
      <c r="CB49" s="461">
        <f t="shared" si="48"/>
        <v>11.3125</v>
      </c>
      <c r="CC49" s="461">
        <f t="shared" si="49"/>
        <v>10.625</v>
      </c>
      <c r="CD49" s="461">
        <f t="shared" si="50"/>
        <v>11.375</v>
      </c>
      <c r="CE49" s="430"/>
      <c r="CF49" s="430"/>
    </row>
    <row r="50" spans="3:89" x14ac:dyDescent="0.2">
      <c r="C50" s="267">
        <v>14</v>
      </c>
      <c r="D50" s="359">
        <v>9.02</v>
      </c>
      <c r="E50" s="334">
        <v>12.24</v>
      </c>
      <c r="F50" s="232">
        <v>11.37</v>
      </c>
      <c r="G50" s="233">
        <f t="shared" si="29"/>
        <v>10.702999999999999</v>
      </c>
      <c r="H50" s="232">
        <v>10.5</v>
      </c>
      <c r="I50" s="233">
        <f t="shared" si="30"/>
        <v>10.297000000000001</v>
      </c>
      <c r="J50" s="232">
        <v>9.6300000000000008</v>
      </c>
      <c r="K50" s="233">
        <f t="shared" si="31"/>
        <v>9.34</v>
      </c>
      <c r="L50" s="232">
        <v>8.76</v>
      </c>
      <c r="M50" s="233">
        <f t="shared" si="0"/>
        <v>7.97</v>
      </c>
      <c r="N50" s="232">
        <v>7.18</v>
      </c>
      <c r="O50" s="335">
        <v>6.45</v>
      </c>
      <c r="P50" s="375">
        <v>10.5</v>
      </c>
      <c r="Q50" s="371" t="s">
        <v>42</v>
      </c>
      <c r="R50" s="368" t="str">
        <f t="shared" si="51"/>
        <v># 6</v>
      </c>
      <c r="S50" s="346">
        <f t="shared" si="32"/>
        <v>2.5724999999999998</v>
      </c>
      <c r="T50" s="347">
        <f t="shared" si="1"/>
        <v>2.5724999999999998</v>
      </c>
      <c r="U50" s="347">
        <f t="shared" si="33"/>
        <v>0.39200000000000002</v>
      </c>
      <c r="V50" s="348">
        <f t="shared" si="2"/>
        <v>0.39200000000000002</v>
      </c>
      <c r="W50" s="312">
        <f t="shared" si="3"/>
        <v>19.588625</v>
      </c>
      <c r="X50" s="320">
        <f t="shared" si="4"/>
        <v>11.984499999999999</v>
      </c>
      <c r="Y50" s="246">
        <v>9.75</v>
      </c>
      <c r="Z50" s="247">
        <v>9.75</v>
      </c>
      <c r="AA50" s="307">
        <f t="shared" si="5"/>
        <v>19.133624999999999</v>
      </c>
      <c r="AB50" s="231">
        <f t="shared" si="6"/>
        <v>11.724499999999999</v>
      </c>
      <c r="AC50" s="234">
        <v>8.75</v>
      </c>
      <c r="AD50" s="247">
        <v>6.75</v>
      </c>
      <c r="AE50" s="307">
        <f t="shared" si="34"/>
        <v>22.533874999999998</v>
      </c>
      <c r="AF50" s="231">
        <f t="shared" si="35"/>
        <v>13.667499999999999</v>
      </c>
      <c r="AG50" s="234">
        <v>7.25</v>
      </c>
      <c r="AH50" s="247">
        <v>6</v>
      </c>
      <c r="AI50" s="307">
        <f t="shared" si="36"/>
        <v>21.823375000000002</v>
      </c>
      <c r="AJ50" s="231">
        <f t="shared" si="37"/>
        <v>13.2615</v>
      </c>
      <c r="AK50" s="234">
        <v>7.75</v>
      </c>
      <c r="AL50" s="247">
        <v>6.25</v>
      </c>
      <c r="AM50" s="312">
        <f t="shared" si="7"/>
        <v>20.148624999999999</v>
      </c>
      <c r="AN50" s="231">
        <f t="shared" si="8"/>
        <v>12.304499999999999</v>
      </c>
      <c r="AO50" s="234">
        <v>8.25</v>
      </c>
      <c r="AP50" s="247">
        <v>6.5</v>
      </c>
      <c r="AQ50" s="312">
        <f t="shared" si="9"/>
        <v>17.751124999999998</v>
      </c>
      <c r="AR50" s="231">
        <f t="shared" si="10"/>
        <v>10.9345</v>
      </c>
      <c r="AS50" s="234">
        <v>9.5</v>
      </c>
      <c r="AT50" s="247">
        <v>7</v>
      </c>
      <c r="AU50" s="312">
        <f t="shared" si="11"/>
        <v>23.701124999999998</v>
      </c>
      <c r="AV50" s="231">
        <f t="shared" si="12"/>
        <v>14.334499999999998</v>
      </c>
      <c r="AW50" s="234">
        <v>7</v>
      </c>
      <c r="AX50" s="247">
        <v>6</v>
      </c>
      <c r="AY50" s="345" t="s">
        <v>41</v>
      </c>
      <c r="AZ50" s="381">
        <f t="shared" si="13"/>
        <v>11</v>
      </c>
      <c r="BA50" s="239">
        <f t="shared" si="14"/>
        <v>15</v>
      </c>
      <c r="BB50" s="239">
        <f t="shared" si="15"/>
        <v>15</v>
      </c>
      <c r="BC50" s="239">
        <f t="shared" si="16"/>
        <v>15</v>
      </c>
      <c r="BD50" s="239">
        <f t="shared" si="17"/>
        <v>15</v>
      </c>
      <c r="BE50" s="239">
        <f t="shared" si="18"/>
        <v>14</v>
      </c>
      <c r="BF50" s="239">
        <f t="shared" si="19"/>
        <v>15</v>
      </c>
      <c r="BG50" s="232">
        <v>0.52851171441159961</v>
      </c>
      <c r="BH50" s="232">
        <f t="shared" si="20"/>
        <v>0.64180596259073608</v>
      </c>
      <c r="BI50" s="411">
        <f>VLOOKUP($AY50,'Bar Sizes'!$D$26:$F$36,3,FALSE)</f>
        <v>0.31</v>
      </c>
      <c r="BJ50" s="381">
        <f t="shared" si="38"/>
        <v>7</v>
      </c>
      <c r="BK50" s="401">
        <f t="shared" si="21"/>
        <v>14.650000000000002</v>
      </c>
      <c r="BL50" s="401">
        <f t="shared" si="22"/>
        <v>15.7</v>
      </c>
      <c r="BM50" s="401">
        <f t="shared" si="23"/>
        <v>15.400000039999998</v>
      </c>
      <c r="BN50" s="401">
        <f t="shared" si="24"/>
        <v>15</v>
      </c>
      <c r="BO50" s="401">
        <f t="shared" si="25"/>
        <v>14.100000000000001</v>
      </c>
      <c r="BP50" s="401">
        <f t="shared" si="26"/>
        <v>16.200000000000003</v>
      </c>
      <c r="BR50" s="464">
        <f t="shared" si="39"/>
        <v>0.62964316239072471</v>
      </c>
      <c r="BS50" s="464">
        <f t="shared" si="40"/>
        <v>0.60822389441100067</v>
      </c>
      <c r="BT50" s="464">
        <f t="shared" si="41"/>
        <v>0.61411957806543283</v>
      </c>
      <c r="BU50" s="464">
        <f t="shared" si="42"/>
        <v>0.62225396744416184</v>
      </c>
      <c r="BV50" s="464">
        <f t="shared" si="43"/>
        <v>0.64180596259073608</v>
      </c>
      <c r="BW50" s="464">
        <f t="shared" si="44"/>
        <v>0.59876415934699911</v>
      </c>
      <c r="BX50" s="430"/>
      <c r="BY50" s="461">
        <f t="shared" si="45"/>
        <v>10.5</v>
      </c>
      <c r="BZ50" s="461">
        <f t="shared" si="46"/>
        <v>11.25</v>
      </c>
      <c r="CA50" s="461">
        <f t="shared" si="47"/>
        <v>11</v>
      </c>
      <c r="CB50" s="461">
        <f t="shared" si="48"/>
        <v>10.75</v>
      </c>
      <c r="CC50" s="461">
        <f t="shared" si="49"/>
        <v>10.875</v>
      </c>
      <c r="CD50" s="461">
        <f t="shared" si="50"/>
        <v>11.625</v>
      </c>
      <c r="CE50" s="430"/>
      <c r="CF50" s="430"/>
      <c r="CH50" t="s">
        <v>23</v>
      </c>
      <c r="CI50" t="s">
        <v>24</v>
      </c>
      <c r="CJ50" t="s">
        <v>238</v>
      </c>
    </row>
    <row r="51" spans="3:89" x14ac:dyDescent="0.2">
      <c r="C51" s="267">
        <v>14.25</v>
      </c>
      <c r="D51" s="359">
        <v>9.14</v>
      </c>
      <c r="E51" s="334">
        <v>12.46</v>
      </c>
      <c r="F51" s="232">
        <v>11.59</v>
      </c>
      <c r="G51" s="233">
        <f t="shared" si="29"/>
        <v>10.923</v>
      </c>
      <c r="H51" s="232">
        <v>10.72</v>
      </c>
      <c r="I51" s="233">
        <f t="shared" si="30"/>
        <v>10.516999999999999</v>
      </c>
      <c r="J51" s="232">
        <v>9.85</v>
      </c>
      <c r="K51" s="233">
        <f t="shared" si="31"/>
        <v>9.5633333333333326</v>
      </c>
      <c r="L51" s="232">
        <v>8.99</v>
      </c>
      <c r="M51" s="233">
        <f t="shared" si="0"/>
        <v>8.1850000000000005</v>
      </c>
      <c r="N51" s="232">
        <v>7.38</v>
      </c>
      <c r="O51" s="335">
        <v>6.58</v>
      </c>
      <c r="P51" s="375">
        <v>10.5</v>
      </c>
      <c r="Q51" s="371" t="s">
        <v>42</v>
      </c>
      <c r="R51" s="368" t="str">
        <f t="shared" si="51"/>
        <v># 6</v>
      </c>
      <c r="S51" s="346">
        <f t="shared" si="32"/>
        <v>2.6651953124999994</v>
      </c>
      <c r="T51" s="347">
        <f t="shared" si="1"/>
        <v>2.6651953124999994</v>
      </c>
      <c r="U51" s="347">
        <f t="shared" si="33"/>
        <v>0.40612500000000001</v>
      </c>
      <c r="V51" s="348">
        <f t="shared" si="2"/>
        <v>0.40612500000000001</v>
      </c>
      <c r="W51" s="312">
        <f t="shared" si="3"/>
        <v>19.935681640624999</v>
      </c>
      <c r="X51" s="320">
        <f t="shared" si="4"/>
        <v>12.2113203125</v>
      </c>
      <c r="Y51" s="246">
        <v>9.75</v>
      </c>
      <c r="Z51" s="247">
        <v>9.5</v>
      </c>
      <c r="AA51" s="307">
        <f t="shared" si="5"/>
        <v>19.673181640625</v>
      </c>
      <c r="AB51" s="231">
        <f t="shared" si="6"/>
        <v>12.061320312499999</v>
      </c>
      <c r="AC51" s="234">
        <v>8.5</v>
      </c>
      <c r="AD51" s="247">
        <v>6.75</v>
      </c>
      <c r="AE51" s="307">
        <f t="shared" si="34"/>
        <v>23.055931640624998</v>
      </c>
      <c r="AF51" s="231">
        <f t="shared" si="35"/>
        <v>13.994320312499999</v>
      </c>
      <c r="AG51" s="234">
        <v>7.25</v>
      </c>
      <c r="AH51" s="247">
        <v>6</v>
      </c>
      <c r="AI51" s="307">
        <f t="shared" si="36"/>
        <v>22.345431640624998</v>
      </c>
      <c r="AJ51" s="231">
        <f t="shared" si="37"/>
        <v>13.588320312499999</v>
      </c>
      <c r="AK51" s="234">
        <v>7.5</v>
      </c>
      <c r="AL51" s="247">
        <v>6.25</v>
      </c>
      <c r="AM51" s="312">
        <f t="shared" si="7"/>
        <v>20.67651497395833</v>
      </c>
      <c r="AN51" s="231">
        <f t="shared" si="8"/>
        <v>12.634653645833332</v>
      </c>
      <c r="AO51" s="234">
        <v>8</v>
      </c>
      <c r="AP51" s="247">
        <v>6.5</v>
      </c>
      <c r="AQ51" s="312">
        <f t="shared" si="9"/>
        <v>18.264431640624998</v>
      </c>
      <c r="AR51" s="231">
        <f t="shared" si="10"/>
        <v>11.2563203125</v>
      </c>
      <c r="AS51" s="234">
        <v>9.25</v>
      </c>
      <c r="AT51" s="247">
        <v>7</v>
      </c>
      <c r="AU51" s="312">
        <f t="shared" si="11"/>
        <v>24.223181640624997</v>
      </c>
      <c r="AV51" s="231">
        <f t="shared" si="12"/>
        <v>14.661320312499999</v>
      </c>
      <c r="AW51" s="234">
        <v>6.75</v>
      </c>
      <c r="AX51" s="247">
        <v>5.75</v>
      </c>
      <c r="AY51" s="345" t="s">
        <v>41</v>
      </c>
      <c r="AZ51" s="381">
        <f t="shared" si="13"/>
        <v>10.9375</v>
      </c>
      <c r="BA51" s="239">
        <f t="shared" si="14"/>
        <v>15</v>
      </c>
      <c r="BB51" s="239">
        <f t="shared" si="15"/>
        <v>15</v>
      </c>
      <c r="BC51" s="239">
        <f t="shared" si="16"/>
        <v>15</v>
      </c>
      <c r="BD51" s="239">
        <f t="shared" si="17"/>
        <v>15</v>
      </c>
      <c r="BE51" s="239">
        <f t="shared" si="18"/>
        <v>15</v>
      </c>
      <c r="BF51" s="239">
        <f t="shared" si="19"/>
        <v>16</v>
      </c>
      <c r="BG51" s="232">
        <v>0.53834823805276766</v>
      </c>
      <c r="BH51" s="232">
        <f t="shared" si="20"/>
        <v>0.63508529610858833</v>
      </c>
      <c r="BI51" s="411">
        <f>VLOOKUP($AY51,'Bar Sizes'!$D$26:$F$36,3,FALSE)</f>
        <v>0.31</v>
      </c>
      <c r="BJ51" s="381">
        <f t="shared" si="38"/>
        <v>7</v>
      </c>
      <c r="BK51" s="401">
        <f t="shared" si="21"/>
        <v>14.95</v>
      </c>
      <c r="BL51" s="401">
        <f t="shared" si="22"/>
        <v>16</v>
      </c>
      <c r="BM51" s="401">
        <f t="shared" si="23"/>
        <v>15.700000040000001</v>
      </c>
      <c r="BN51" s="401">
        <f t="shared" si="24"/>
        <v>15.299999999999999</v>
      </c>
      <c r="BO51" s="401">
        <f t="shared" si="25"/>
        <v>14.399999999999999</v>
      </c>
      <c r="BP51" s="401">
        <f t="shared" si="26"/>
        <v>16.5</v>
      </c>
      <c r="BR51" s="464">
        <f t="shared" si="39"/>
        <v>0.62329365733784903</v>
      </c>
      <c r="BS51" s="464">
        <f t="shared" si="40"/>
        <v>0.60249481325568266</v>
      </c>
      <c r="BT51" s="464">
        <f t="shared" si="41"/>
        <v>0.60822389363619311</v>
      </c>
      <c r="BU51" s="464">
        <f t="shared" si="42"/>
        <v>0.6161232369723243</v>
      </c>
      <c r="BV51" s="464">
        <f t="shared" si="43"/>
        <v>0.63508529610858833</v>
      </c>
      <c r="BW51" s="464">
        <f t="shared" si="44"/>
        <v>0.59329587896765301</v>
      </c>
      <c r="BX51" s="430"/>
      <c r="BY51" s="461">
        <f t="shared" si="45"/>
        <v>10.6875</v>
      </c>
      <c r="BZ51" s="461">
        <f t="shared" si="46"/>
        <v>11.4375</v>
      </c>
      <c r="CA51" s="461">
        <f t="shared" si="47"/>
        <v>11.25</v>
      </c>
      <c r="CB51" s="461">
        <f t="shared" si="48"/>
        <v>10.9375</v>
      </c>
      <c r="CC51" s="461">
        <f t="shared" si="49"/>
        <v>10.3125</v>
      </c>
      <c r="CD51" s="461">
        <f t="shared" si="50"/>
        <v>11</v>
      </c>
      <c r="CE51" s="430"/>
      <c r="CF51" s="430"/>
      <c r="CH51" t="s">
        <v>0</v>
      </c>
      <c r="CI51">
        <v>1</v>
      </c>
      <c r="CJ51">
        <v>12</v>
      </c>
    </row>
    <row r="52" spans="3:89" x14ac:dyDescent="0.2">
      <c r="C52" s="267">
        <v>14.5</v>
      </c>
      <c r="D52" s="359">
        <v>9.25</v>
      </c>
      <c r="E52" s="334">
        <v>12.67</v>
      </c>
      <c r="F52" s="232">
        <v>11.81</v>
      </c>
      <c r="G52" s="233">
        <f t="shared" si="29"/>
        <v>11.143000000000001</v>
      </c>
      <c r="H52" s="232">
        <v>10.94</v>
      </c>
      <c r="I52" s="233">
        <f t="shared" si="30"/>
        <v>10.739333333333333</v>
      </c>
      <c r="J52" s="232">
        <v>10.08</v>
      </c>
      <c r="K52" s="233">
        <f t="shared" si="31"/>
        <v>9.7900000000000009</v>
      </c>
      <c r="L52" s="232">
        <v>9.2100000000000009</v>
      </c>
      <c r="M52" s="233">
        <f t="shared" si="0"/>
        <v>8.39</v>
      </c>
      <c r="N52" s="232">
        <v>7.57</v>
      </c>
      <c r="O52" s="335">
        <v>6.72</v>
      </c>
      <c r="P52" s="375">
        <v>11</v>
      </c>
      <c r="Q52" s="371" t="s">
        <v>42</v>
      </c>
      <c r="R52" s="368" t="str">
        <f t="shared" si="51"/>
        <v># 6</v>
      </c>
      <c r="S52" s="346">
        <f t="shared" si="32"/>
        <v>2.8909374999999993</v>
      </c>
      <c r="T52" s="347">
        <f t="shared" si="1"/>
        <v>2.8909374999999993</v>
      </c>
      <c r="U52" s="347">
        <f t="shared" si="33"/>
        <v>0.42049999999999998</v>
      </c>
      <c r="V52" s="348">
        <f t="shared" si="2"/>
        <v>0.42049999999999998</v>
      </c>
      <c r="W52" s="312">
        <f t="shared" si="3"/>
        <v>20.431921875</v>
      </c>
      <c r="X52" s="320">
        <f t="shared" si="4"/>
        <v>12.5614375</v>
      </c>
      <c r="Y52" s="246">
        <v>10</v>
      </c>
      <c r="Z52" s="247">
        <v>9.75</v>
      </c>
      <c r="AA52" s="307">
        <f t="shared" si="5"/>
        <v>20.361921875</v>
      </c>
      <c r="AB52" s="231">
        <f t="shared" si="6"/>
        <v>12.521437500000001</v>
      </c>
      <c r="AC52" s="234">
        <v>8.75</v>
      </c>
      <c r="AD52" s="247">
        <v>7</v>
      </c>
      <c r="AE52" s="307">
        <f t="shared" si="34"/>
        <v>23.744671875000002</v>
      </c>
      <c r="AF52" s="231">
        <f t="shared" si="35"/>
        <v>14.454437500000001</v>
      </c>
      <c r="AG52" s="234">
        <v>7.5</v>
      </c>
      <c r="AH52" s="247">
        <v>6.25</v>
      </c>
      <c r="AI52" s="307">
        <f t="shared" si="36"/>
        <v>23.038255208333332</v>
      </c>
      <c r="AJ52" s="231">
        <f t="shared" si="37"/>
        <v>14.050770833333331</v>
      </c>
      <c r="AK52" s="234">
        <v>7.75</v>
      </c>
      <c r="AL52" s="247">
        <v>6.25</v>
      </c>
      <c r="AM52" s="312">
        <f t="shared" si="7"/>
        <v>21.376921875000001</v>
      </c>
      <c r="AN52" s="231">
        <f t="shared" si="8"/>
        <v>13.101437499999999</v>
      </c>
      <c r="AO52" s="234">
        <v>8.5</v>
      </c>
      <c r="AP52" s="247">
        <v>6.75</v>
      </c>
      <c r="AQ52" s="312">
        <f t="shared" si="9"/>
        <v>18.926921874999998</v>
      </c>
      <c r="AR52" s="231">
        <f t="shared" si="10"/>
        <v>11.701437500000001</v>
      </c>
      <c r="AS52" s="234">
        <v>9.5</v>
      </c>
      <c r="AT52" s="247">
        <v>7.25</v>
      </c>
      <c r="AU52" s="312">
        <f t="shared" si="11"/>
        <v>24.911921874999997</v>
      </c>
      <c r="AV52" s="231">
        <f t="shared" si="12"/>
        <v>15.121437499999999</v>
      </c>
      <c r="AW52" s="234">
        <v>7</v>
      </c>
      <c r="AX52" s="247">
        <v>6</v>
      </c>
      <c r="AY52" s="345" t="s">
        <v>41</v>
      </c>
      <c r="AZ52" s="381">
        <f t="shared" si="13"/>
        <v>11.4375</v>
      </c>
      <c r="BA52" s="239">
        <f t="shared" si="14"/>
        <v>15</v>
      </c>
      <c r="BB52" s="239">
        <f t="shared" si="15"/>
        <v>15</v>
      </c>
      <c r="BC52" s="239">
        <f t="shared" si="16"/>
        <v>15</v>
      </c>
      <c r="BD52" s="239">
        <f t="shared" si="17"/>
        <v>15</v>
      </c>
      <c r="BE52" s="239">
        <f t="shared" si="18"/>
        <v>14</v>
      </c>
      <c r="BF52" s="239">
        <f t="shared" si="19"/>
        <v>15</v>
      </c>
      <c r="BG52" s="232">
        <v>0.51931234003602122</v>
      </c>
      <c r="BH52" s="232">
        <f t="shared" si="20"/>
        <v>0.62857142857142856</v>
      </c>
      <c r="BI52" s="411">
        <f>VLOOKUP($AY52,'Bar Sizes'!$D$26:$F$36,3,FALSE)</f>
        <v>0.31</v>
      </c>
      <c r="BJ52" s="381">
        <f t="shared" si="38"/>
        <v>7.5</v>
      </c>
      <c r="BK52" s="401">
        <f t="shared" si="21"/>
        <v>14.523809523809526</v>
      </c>
      <c r="BL52" s="401">
        <f t="shared" si="22"/>
        <v>15.523809523809526</v>
      </c>
      <c r="BM52" s="401">
        <f t="shared" si="23"/>
        <v>15.238095276190476</v>
      </c>
      <c r="BN52" s="401">
        <f t="shared" si="24"/>
        <v>14.857142857142858</v>
      </c>
      <c r="BO52" s="401">
        <f t="shared" si="25"/>
        <v>14</v>
      </c>
      <c r="BP52" s="401">
        <f t="shared" si="26"/>
        <v>16</v>
      </c>
      <c r="BR52" s="464">
        <f t="shared" si="39"/>
        <v>0.61713244852008342</v>
      </c>
      <c r="BS52" s="464">
        <f t="shared" si="40"/>
        <v>0.59692463377289762</v>
      </c>
      <c r="BT52" s="464">
        <f t="shared" si="41"/>
        <v>0.6024948125025642</v>
      </c>
      <c r="BU52" s="464">
        <f t="shared" si="42"/>
        <v>0.61017021584775211</v>
      </c>
      <c r="BV52" s="464">
        <f t="shared" si="43"/>
        <v>0.62857142857142856</v>
      </c>
      <c r="BW52" s="464">
        <f t="shared" si="44"/>
        <v>0.58797473220733365</v>
      </c>
      <c r="BX52" s="430"/>
      <c r="BY52" s="461">
        <f t="shared" si="45"/>
        <v>10.9375</v>
      </c>
      <c r="BZ52" s="461">
        <f t="shared" si="46"/>
        <v>11.6875</v>
      </c>
      <c r="CA52" s="461">
        <f t="shared" si="47"/>
        <v>11.4375</v>
      </c>
      <c r="CB52" s="461">
        <f t="shared" si="48"/>
        <v>11.1875</v>
      </c>
      <c r="CC52" s="461">
        <f t="shared" si="49"/>
        <v>11.3125</v>
      </c>
      <c r="CD52" s="461">
        <f t="shared" si="50"/>
        <v>12</v>
      </c>
      <c r="CE52" s="430"/>
      <c r="CF52" s="430"/>
      <c r="CH52" t="s">
        <v>25</v>
      </c>
      <c r="CI52">
        <v>3.0833333333333335</v>
      </c>
      <c r="CJ52">
        <v>12.333333333333334</v>
      </c>
    </row>
    <row r="53" spans="3:89" x14ac:dyDescent="0.2">
      <c r="C53" s="267">
        <v>14.75</v>
      </c>
      <c r="D53" s="359">
        <v>9.36</v>
      </c>
      <c r="E53" s="334">
        <v>12.88</v>
      </c>
      <c r="F53" s="232">
        <v>12.02</v>
      </c>
      <c r="G53" s="233">
        <f t="shared" si="29"/>
        <v>11.360666666666667</v>
      </c>
      <c r="H53" s="232">
        <v>11.16</v>
      </c>
      <c r="I53" s="233">
        <f t="shared" si="30"/>
        <v>10.959333333333333</v>
      </c>
      <c r="J53" s="232">
        <v>10.3</v>
      </c>
      <c r="K53" s="233">
        <f t="shared" si="31"/>
        <v>10.013333333333334</v>
      </c>
      <c r="L53" s="232">
        <v>9.44</v>
      </c>
      <c r="M53" s="233">
        <f t="shared" si="0"/>
        <v>8.6</v>
      </c>
      <c r="N53" s="232">
        <v>7.76</v>
      </c>
      <c r="O53" s="335">
        <v>6.86</v>
      </c>
      <c r="P53" s="375">
        <v>11</v>
      </c>
      <c r="Q53" s="371" t="s">
        <v>42</v>
      </c>
      <c r="R53" s="368" t="str">
        <f t="shared" si="51"/>
        <v># 6</v>
      </c>
      <c r="S53" s="346">
        <f t="shared" si="32"/>
        <v>2.9914843749999998</v>
      </c>
      <c r="T53" s="347">
        <f t="shared" si="1"/>
        <v>2.9914843749999998</v>
      </c>
      <c r="U53" s="347">
        <f t="shared" si="33"/>
        <v>0.43512499999999998</v>
      </c>
      <c r="V53" s="348">
        <f t="shared" si="2"/>
        <v>0.43512499999999998</v>
      </c>
      <c r="W53" s="312">
        <f t="shared" si="3"/>
        <v>20.77204296875</v>
      </c>
      <c r="X53" s="320">
        <f t="shared" si="4"/>
        <v>12.786609374999999</v>
      </c>
      <c r="Y53" s="246">
        <v>9.75</v>
      </c>
      <c r="Z53" s="247">
        <v>9.75</v>
      </c>
      <c r="AA53" s="307">
        <f t="shared" si="5"/>
        <v>20.912042968750001</v>
      </c>
      <c r="AB53" s="231">
        <f t="shared" si="6"/>
        <v>12.866609374999999</v>
      </c>
      <c r="AC53" s="234">
        <v>8.5</v>
      </c>
      <c r="AD53" s="247">
        <v>6.75</v>
      </c>
      <c r="AE53" s="307">
        <f t="shared" si="34"/>
        <v>24.273209635416663</v>
      </c>
      <c r="AF53" s="231">
        <f t="shared" si="35"/>
        <v>14.787276041666667</v>
      </c>
      <c r="AG53" s="234">
        <v>7.25</v>
      </c>
      <c r="AH53" s="247">
        <v>6.25</v>
      </c>
      <c r="AI53" s="307">
        <f t="shared" si="36"/>
        <v>23.570876302083335</v>
      </c>
      <c r="AJ53" s="231">
        <f t="shared" si="37"/>
        <v>14.385942708333333</v>
      </c>
      <c r="AK53" s="234">
        <v>7.5</v>
      </c>
      <c r="AL53" s="247">
        <v>6.25</v>
      </c>
      <c r="AM53" s="312">
        <f t="shared" si="7"/>
        <v>21.915376302083331</v>
      </c>
      <c r="AN53" s="231">
        <f t="shared" si="8"/>
        <v>13.439942708333334</v>
      </c>
      <c r="AO53" s="234">
        <v>8.25</v>
      </c>
      <c r="AP53" s="247">
        <v>6.5</v>
      </c>
      <c r="AQ53" s="312">
        <f t="shared" si="9"/>
        <v>19.442042968749998</v>
      </c>
      <c r="AR53" s="231">
        <f t="shared" si="10"/>
        <v>12.026609375</v>
      </c>
      <c r="AS53" s="234">
        <v>9.25</v>
      </c>
      <c r="AT53" s="247">
        <v>7</v>
      </c>
      <c r="AU53" s="312">
        <f t="shared" si="11"/>
        <v>25.427042968750001</v>
      </c>
      <c r="AV53" s="231">
        <f t="shared" si="12"/>
        <v>15.446609375</v>
      </c>
      <c r="AW53" s="234">
        <v>7</v>
      </c>
      <c r="AX53" s="247">
        <v>6</v>
      </c>
      <c r="AY53" s="345" t="s">
        <v>41</v>
      </c>
      <c r="AZ53" s="381">
        <f t="shared" si="13"/>
        <v>11.3125</v>
      </c>
      <c r="BA53" s="239">
        <f t="shared" si="14"/>
        <v>15</v>
      </c>
      <c r="BB53" s="239">
        <f t="shared" si="15"/>
        <v>15</v>
      </c>
      <c r="BC53" s="239">
        <f t="shared" si="16"/>
        <v>15</v>
      </c>
      <c r="BD53" s="239">
        <f t="shared" si="17"/>
        <v>15</v>
      </c>
      <c r="BE53" s="239">
        <f t="shared" si="18"/>
        <v>15</v>
      </c>
      <c r="BF53" s="239">
        <f t="shared" si="19"/>
        <v>16</v>
      </c>
      <c r="BG53" s="232">
        <v>0.52835909063389075</v>
      </c>
      <c r="BH53" s="232">
        <f t="shared" si="20"/>
        <v>0.62225396744416184</v>
      </c>
      <c r="BI53" s="411">
        <f>VLOOKUP($AY53,'Bar Sizes'!$D$26:$F$36,3,FALSE)</f>
        <v>0.31</v>
      </c>
      <c r="BJ53" s="381">
        <f t="shared" si="38"/>
        <v>7.5</v>
      </c>
      <c r="BK53" s="401">
        <f t="shared" si="21"/>
        <v>14.80952380952381</v>
      </c>
      <c r="BL53" s="401">
        <f t="shared" si="22"/>
        <v>15.80952380952381</v>
      </c>
      <c r="BM53" s="401">
        <f t="shared" si="23"/>
        <v>15.523809561904761</v>
      </c>
      <c r="BN53" s="401">
        <f t="shared" si="24"/>
        <v>15.142857142857142</v>
      </c>
      <c r="BO53" s="401">
        <f t="shared" si="25"/>
        <v>14.285714285714285</v>
      </c>
      <c r="BP53" s="401">
        <f t="shared" si="26"/>
        <v>16.285714285714285</v>
      </c>
      <c r="BR53" s="464">
        <f t="shared" si="39"/>
        <v>0.6111504095974456</v>
      </c>
      <c r="BS53" s="464">
        <f t="shared" si="40"/>
        <v>0.59150614373165145</v>
      </c>
      <c r="BT53" s="464">
        <f t="shared" si="41"/>
        <v>0.59692463304047483</v>
      </c>
      <c r="BU53" s="464">
        <f t="shared" si="42"/>
        <v>0.60438648137423168</v>
      </c>
      <c r="BV53" s="464">
        <f t="shared" si="43"/>
        <v>0.62225396744416184</v>
      </c>
      <c r="BW53" s="464">
        <f t="shared" si="44"/>
        <v>0.58279423710861922</v>
      </c>
      <c r="BX53" s="430"/>
      <c r="BY53" s="461">
        <f t="shared" si="45"/>
        <v>11.125</v>
      </c>
      <c r="BZ53" s="461">
        <f t="shared" si="46"/>
        <v>11.875</v>
      </c>
      <c r="CA53" s="461">
        <f t="shared" si="47"/>
        <v>11.6875</v>
      </c>
      <c r="CB53" s="461">
        <f t="shared" si="48"/>
        <v>11.375</v>
      </c>
      <c r="CC53" s="461">
        <f t="shared" si="49"/>
        <v>10.75</v>
      </c>
      <c r="CD53" s="461">
        <f t="shared" si="50"/>
        <v>11.4375</v>
      </c>
      <c r="CE53" s="430"/>
      <c r="CF53" s="430"/>
      <c r="CH53" t="s">
        <v>1</v>
      </c>
      <c r="CI53">
        <v>1.3333333333333333</v>
      </c>
      <c r="CJ53">
        <f>ROUND(CI53/3*12,1)</f>
        <v>5.3</v>
      </c>
      <c r="CK53">
        <v>16</v>
      </c>
    </row>
    <row r="54" spans="3:89" ht="13.5" thickBot="1" x14ac:dyDescent="0.25">
      <c r="C54" s="268">
        <v>15</v>
      </c>
      <c r="D54" s="360">
        <v>9.4700000000000006</v>
      </c>
      <c r="E54" s="336">
        <v>13.09</v>
      </c>
      <c r="F54" s="337">
        <v>12.23</v>
      </c>
      <c r="G54" s="338">
        <f t="shared" si="29"/>
        <v>11.570666666666666</v>
      </c>
      <c r="H54" s="337">
        <v>11.37</v>
      </c>
      <c r="I54" s="338">
        <f t="shared" si="30"/>
        <v>11.169333333333332</v>
      </c>
      <c r="J54" s="337">
        <v>10.51</v>
      </c>
      <c r="K54" s="338">
        <f t="shared" si="31"/>
        <v>10.223333333333333</v>
      </c>
      <c r="L54" s="337">
        <v>9.65</v>
      </c>
      <c r="M54" s="338">
        <f t="shared" si="0"/>
        <v>8.7949999999999999</v>
      </c>
      <c r="N54" s="337">
        <v>7.94</v>
      </c>
      <c r="O54" s="339">
        <v>7.02</v>
      </c>
      <c r="P54" s="376">
        <v>11</v>
      </c>
      <c r="Q54" s="372" t="s">
        <v>42</v>
      </c>
      <c r="R54" s="369" t="str">
        <f t="shared" si="51"/>
        <v># 6</v>
      </c>
      <c r="S54" s="349">
        <f t="shared" si="32"/>
        <v>3.09375</v>
      </c>
      <c r="T54" s="350">
        <f t="shared" si="1"/>
        <v>3.09375</v>
      </c>
      <c r="U54" s="350">
        <f t="shared" si="33"/>
        <v>0.45</v>
      </c>
      <c r="V54" s="351">
        <f t="shared" si="2"/>
        <v>0.45</v>
      </c>
      <c r="W54" s="313">
        <f t="shared" si="3"/>
        <v>21.114687500000002</v>
      </c>
      <c r="X54" s="321">
        <f t="shared" si="4"/>
        <v>13.013750000000002</v>
      </c>
      <c r="Y54" s="248">
        <v>9.75</v>
      </c>
      <c r="Z54" s="250">
        <v>9.75</v>
      </c>
      <c r="AA54" s="317">
        <f t="shared" si="5"/>
        <v>21.4296875</v>
      </c>
      <c r="AB54" s="314">
        <f t="shared" si="6"/>
        <v>13.193750000000001</v>
      </c>
      <c r="AC54" s="249">
        <v>8.5</v>
      </c>
      <c r="AD54" s="250">
        <v>6.75</v>
      </c>
      <c r="AE54" s="317">
        <f t="shared" si="34"/>
        <v>24.790854166666666</v>
      </c>
      <c r="AF54" s="314">
        <f t="shared" si="35"/>
        <v>15.114416666666667</v>
      </c>
      <c r="AG54" s="249">
        <v>7.25</v>
      </c>
      <c r="AH54" s="250">
        <v>6</v>
      </c>
      <c r="AI54" s="317">
        <f t="shared" si="36"/>
        <v>24.088520833333334</v>
      </c>
      <c r="AJ54" s="314">
        <f t="shared" si="37"/>
        <v>14.713083333333334</v>
      </c>
      <c r="AK54" s="249">
        <v>7.5</v>
      </c>
      <c r="AL54" s="250">
        <v>6.25</v>
      </c>
      <c r="AM54" s="313">
        <f t="shared" si="7"/>
        <v>22.433020833333334</v>
      </c>
      <c r="AN54" s="314">
        <f t="shared" si="8"/>
        <v>13.767083333333332</v>
      </c>
      <c r="AO54" s="249">
        <v>8</v>
      </c>
      <c r="AP54" s="250">
        <v>6.5</v>
      </c>
      <c r="AQ54" s="313">
        <f t="shared" si="9"/>
        <v>19.9334375</v>
      </c>
      <c r="AR54" s="314">
        <f t="shared" si="10"/>
        <v>12.338750000000001</v>
      </c>
      <c r="AS54" s="249">
        <v>9</v>
      </c>
      <c r="AT54" s="250">
        <v>7</v>
      </c>
      <c r="AU54" s="313">
        <f t="shared" si="11"/>
        <v>25.944687500000001</v>
      </c>
      <c r="AV54" s="314">
        <f t="shared" si="12"/>
        <v>15.77375</v>
      </c>
      <c r="AW54" s="249">
        <v>6.75</v>
      </c>
      <c r="AX54" s="250">
        <v>6</v>
      </c>
      <c r="AY54" s="366" t="s">
        <v>41</v>
      </c>
      <c r="AZ54" s="382">
        <f>INT(BI54/(BG54*BH54)*12*16+0.95)/16</f>
        <v>11.25</v>
      </c>
      <c r="BA54" s="459">
        <f t="shared" si="14"/>
        <v>15</v>
      </c>
      <c r="BB54" s="459">
        <f t="shared" si="15"/>
        <v>16</v>
      </c>
      <c r="BC54" s="459">
        <f t="shared" si="16"/>
        <v>16</v>
      </c>
      <c r="BD54" s="459">
        <f t="shared" si="17"/>
        <v>15</v>
      </c>
      <c r="BE54" s="459">
        <f t="shared" si="18"/>
        <v>15</v>
      </c>
      <c r="BF54" s="459">
        <f t="shared" si="19"/>
        <v>16</v>
      </c>
      <c r="BG54" s="412">
        <v>0.5374875631171111</v>
      </c>
      <c r="BH54" s="412">
        <f t="shared" si="20"/>
        <v>0.6161232369723243</v>
      </c>
      <c r="BI54" s="413">
        <f>VLOOKUP($AY54,'Bar Sizes'!$D$26:$F$36,3,FALSE)</f>
        <v>0.31</v>
      </c>
      <c r="BJ54" s="382">
        <f t="shared" si="38"/>
        <v>7.5</v>
      </c>
      <c r="BK54" s="402">
        <f t="shared" si="21"/>
        <v>15.095238095238095</v>
      </c>
      <c r="BL54" s="402">
        <f t="shared" si="22"/>
        <v>16.095238095238095</v>
      </c>
      <c r="BM54" s="402">
        <f t="shared" si="23"/>
        <v>15.809523847619047</v>
      </c>
      <c r="BN54" s="402">
        <f t="shared" si="24"/>
        <v>15.428571428571431</v>
      </c>
      <c r="BO54" s="402">
        <f t="shared" si="25"/>
        <v>14.571428571428569</v>
      </c>
      <c r="BP54" s="402">
        <f t="shared" si="26"/>
        <v>16.571428571428569</v>
      </c>
      <c r="BR54" s="465">
        <f t="shared" si="39"/>
        <v>0.60533902173103293</v>
      </c>
      <c r="BS54" s="465">
        <f t="shared" si="40"/>
        <v>0.58623258102331233</v>
      </c>
      <c r="BT54" s="465">
        <f t="shared" si="41"/>
        <v>0.5915061430189934</v>
      </c>
      <c r="BU54" s="465">
        <f t="shared" si="42"/>
        <v>0.59876415934699911</v>
      </c>
      <c r="BV54" s="465">
        <f t="shared" si="43"/>
        <v>0.6161232369723243</v>
      </c>
      <c r="BW54" s="465">
        <f t="shared" si="44"/>
        <v>0.57774830458277926</v>
      </c>
      <c r="BX54" s="430"/>
      <c r="BY54" s="462">
        <f t="shared" si="45"/>
        <v>11.375</v>
      </c>
      <c r="BZ54" s="462">
        <f t="shared" si="46"/>
        <v>11.3125</v>
      </c>
      <c r="CA54" s="462">
        <f t="shared" si="47"/>
        <v>11.125</v>
      </c>
      <c r="CB54" s="462">
        <f t="shared" si="48"/>
        <v>11.625</v>
      </c>
      <c r="CC54" s="462">
        <f t="shared" si="49"/>
        <v>10.9375</v>
      </c>
      <c r="CD54" s="462">
        <f t="shared" si="50"/>
        <v>11.625</v>
      </c>
      <c r="CE54" s="430"/>
      <c r="CF54" s="430"/>
      <c r="CH54" t="s">
        <v>2</v>
      </c>
      <c r="CI54">
        <v>1.6666666666666665</v>
      </c>
      <c r="CJ54">
        <f>ROUND(CI54/3*12,1)</f>
        <v>6.7</v>
      </c>
      <c r="CK54">
        <v>20</v>
      </c>
    </row>
    <row r="55" spans="3:89" x14ac:dyDescent="0.2">
      <c r="CH55" t="s">
        <v>3</v>
      </c>
      <c r="CI55">
        <v>2.5</v>
      </c>
      <c r="CJ55">
        <v>10</v>
      </c>
    </row>
    <row r="56" spans="3:89" x14ac:dyDescent="0.2">
      <c r="CH56" t="s">
        <v>150</v>
      </c>
      <c r="CI56">
        <v>4</v>
      </c>
      <c r="CJ56">
        <v>15</v>
      </c>
    </row>
    <row r="57" spans="3:89" ht="13.5" thickBot="1" x14ac:dyDescent="0.25">
      <c r="BD57" t="s">
        <v>401</v>
      </c>
      <c r="CH57" t="s">
        <v>151</v>
      </c>
      <c r="CI57">
        <v>4</v>
      </c>
      <c r="CJ57">
        <v>15</v>
      </c>
    </row>
    <row r="58" spans="3:89" x14ac:dyDescent="0.2">
      <c r="C58" s="3" t="s">
        <v>230</v>
      </c>
      <c r="D58" s="4"/>
      <c r="E58" s="4"/>
      <c r="F58" s="4"/>
      <c r="G58" s="4"/>
      <c r="H58" s="4"/>
      <c r="I58" s="4"/>
      <c r="J58" s="5"/>
      <c r="BD58" t="s">
        <v>400</v>
      </c>
      <c r="CH58" t="s">
        <v>152</v>
      </c>
      <c r="CI58">
        <v>4</v>
      </c>
      <c r="CJ58">
        <v>15</v>
      </c>
    </row>
    <row r="59" spans="3:89" x14ac:dyDescent="0.2">
      <c r="C59" s="37"/>
      <c r="D59" s="38"/>
      <c r="E59" s="38"/>
      <c r="F59" s="38"/>
      <c r="G59" s="38"/>
      <c r="H59" s="38"/>
      <c r="I59" s="38"/>
      <c r="J59" s="7"/>
      <c r="BD59" t="s">
        <v>628</v>
      </c>
      <c r="CH59" t="s">
        <v>153</v>
      </c>
      <c r="CI59">
        <v>4</v>
      </c>
      <c r="CJ59">
        <v>15</v>
      </c>
    </row>
    <row r="60" spans="3:89" x14ac:dyDescent="0.2">
      <c r="C60" s="37" t="s">
        <v>451</v>
      </c>
      <c r="D60" s="38"/>
      <c r="E60" s="38"/>
      <c r="F60" s="38"/>
      <c r="G60" s="38"/>
      <c r="H60" s="38"/>
      <c r="I60" s="38"/>
      <c r="J60" s="7"/>
      <c r="BD60" t="s">
        <v>402</v>
      </c>
    </row>
    <row r="61" spans="3:89" x14ac:dyDescent="0.2">
      <c r="C61" s="37"/>
      <c r="D61" s="38" t="s">
        <v>423</v>
      </c>
      <c r="E61" s="38"/>
      <c r="F61" s="38"/>
      <c r="G61" s="38"/>
      <c r="H61" s="38"/>
      <c r="I61" s="38"/>
      <c r="J61" s="7"/>
    </row>
    <row r="62" spans="3:89" x14ac:dyDescent="0.2">
      <c r="C62" s="37"/>
      <c r="D62" s="38" t="s">
        <v>420</v>
      </c>
      <c r="E62" s="38"/>
      <c r="F62" s="38"/>
      <c r="G62" s="38"/>
      <c r="H62" s="38"/>
      <c r="I62" s="38"/>
      <c r="J62" s="7"/>
      <c r="CG62" t="s">
        <v>189</v>
      </c>
    </row>
    <row r="63" spans="3:89" ht="14.25" x14ac:dyDescent="0.2">
      <c r="C63" s="37"/>
      <c r="D63" s="38" t="s">
        <v>421</v>
      </c>
      <c r="E63" s="38"/>
      <c r="F63" s="38"/>
      <c r="G63" s="38"/>
      <c r="H63" s="38"/>
      <c r="I63" s="38"/>
      <c r="J63" s="7"/>
      <c r="CG63" t="s">
        <v>190</v>
      </c>
    </row>
    <row r="64" spans="3:89" x14ac:dyDescent="0.2">
      <c r="C64" s="37"/>
      <c r="D64" s="38"/>
      <c r="E64" s="38"/>
      <c r="F64" s="38"/>
      <c r="G64" s="38"/>
      <c r="H64" s="38"/>
      <c r="I64" s="38"/>
      <c r="J64" s="7"/>
      <c r="CH64" t="s">
        <v>192</v>
      </c>
    </row>
    <row r="65" spans="3:87" x14ac:dyDescent="0.2">
      <c r="C65" s="37"/>
      <c r="D65" s="38"/>
      <c r="E65" s="38"/>
      <c r="F65" s="38"/>
      <c r="G65" s="38"/>
      <c r="H65" s="38"/>
      <c r="I65" s="38"/>
      <c r="J65" s="7"/>
      <c r="CH65" t="s">
        <v>191</v>
      </c>
    </row>
    <row r="66" spans="3:87" x14ac:dyDescent="0.2">
      <c r="C66" s="37"/>
      <c r="D66" s="38" t="s">
        <v>425</v>
      </c>
      <c r="E66" s="38"/>
      <c r="F66" s="38"/>
      <c r="G66" s="38"/>
      <c r="H66" s="38"/>
      <c r="I66" s="38"/>
      <c r="J66" s="7"/>
      <c r="CC66" s="456"/>
    </row>
    <row r="67" spans="3:87" x14ac:dyDescent="0.2">
      <c r="C67" s="37"/>
      <c r="D67" s="38" t="s">
        <v>426</v>
      </c>
      <c r="E67" s="38"/>
      <c r="F67" s="38"/>
      <c r="G67" s="38"/>
      <c r="H67" s="38"/>
      <c r="I67" s="38"/>
      <c r="J67" s="7"/>
      <c r="CH67" t="s">
        <v>193</v>
      </c>
    </row>
    <row r="68" spans="3:87" ht="15" thickBot="1" x14ac:dyDescent="0.25">
      <c r="C68" s="35"/>
      <c r="D68" s="36" t="s">
        <v>427</v>
      </c>
      <c r="E68" s="36"/>
      <c r="F68" s="36"/>
      <c r="G68" s="36"/>
      <c r="H68" s="36"/>
      <c r="I68" s="36"/>
      <c r="J68" s="13"/>
      <c r="CH68" t="s">
        <v>194</v>
      </c>
    </row>
    <row r="70" spans="3:87" x14ac:dyDescent="0.2">
      <c r="CG70" t="s">
        <v>195</v>
      </c>
    </row>
    <row r="71" spans="3:87" x14ac:dyDescent="0.2">
      <c r="CH71" t="s">
        <v>621</v>
      </c>
    </row>
    <row r="72" spans="3:87" x14ac:dyDescent="0.2">
      <c r="CH72" t="s">
        <v>196</v>
      </c>
    </row>
    <row r="73" spans="3:87" x14ac:dyDescent="0.2">
      <c r="CH73" t="s">
        <v>197</v>
      </c>
    </row>
    <row r="74" spans="3:87" x14ac:dyDescent="0.2">
      <c r="CH74" t="s">
        <v>198</v>
      </c>
    </row>
    <row r="75" spans="3:87" x14ac:dyDescent="0.2">
      <c r="CH75" t="s">
        <v>199</v>
      </c>
    </row>
    <row r="77" spans="3:87" x14ac:dyDescent="0.2">
      <c r="CF77" s="276" t="s">
        <v>23</v>
      </c>
      <c r="CG77" s="277" t="str">
        <f t="shared" ref="CG77:CG86" si="52">CI50</f>
        <v>Flange Width</v>
      </c>
      <c r="CH77" s="277" t="s">
        <v>338</v>
      </c>
      <c r="CI77" s="278" t="s">
        <v>339</v>
      </c>
    </row>
    <row r="78" spans="3:87" x14ac:dyDescent="0.2">
      <c r="CF78" s="279" t="s">
        <v>0</v>
      </c>
      <c r="CG78" s="103">
        <f t="shared" si="52"/>
        <v>1</v>
      </c>
      <c r="CH78" s="103">
        <v>0.5</v>
      </c>
      <c r="CI78" s="280">
        <f>CG78-(CG78-CH78)/2</f>
        <v>0.75</v>
      </c>
    </row>
    <row r="79" spans="3:87" x14ac:dyDescent="0.2">
      <c r="CF79" s="476" t="s">
        <v>25</v>
      </c>
      <c r="CG79" s="38">
        <f t="shared" si="52"/>
        <v>3.0833333333333335</v>
      </c>
      <c r="CH79" s="38">
        <v>0.5</v>
      </c>
      <c r="CI79" s="477">
        <f t="shared" ref="CI79:CI87" si="53">CG79-(CG79-CH79)/2</f>
        <v>1.7916666666666667</v>
      </c>
    </row>
    <row r="80" spans="3:87" x14ac:dyDescent="0.2">
      <c r="CF80" s="476" t="s">
        <v>1</v>
      </c>
      <c r="CG80" s="38">
        <f t="shared" si="52"/>
        <v>1.3333333333333333</v>
      </c>
      <c r="CH80" s="38">
        <v>0.5</v>
      </c>
      <c r="CI80" s="477">
        <f t="shared" si="53"/>
        <v>0.91666666666666663</v>
      </c>
    </row>
    <row r="81" spans="84:87" x14ac:dyDescent="0.2">
      <c r="CF81" s="476" t="s">
        <v>2</v>
      </c>
      <c r="CG81" s="38">
        <f t="shared" si="52"/>
        <v>1.6666666666666665</v>
      </c>
      <c r="CH81" s="38">
        <v>0.6666666</v>
      </c>
      <c r="CI81" s="477">
        <f t="shared" si="53"/>
        <v>1.1666666333333333</v>
      </c>
    </row>
    <row r="82" spans="84:87" x14ac:dyDescent="0.2">
      <c r="CF82" s="476" t="s">
        <v>3</v>
      </c>
      <c r="CG82" s="38">
        <f t="shared" si="52"/>
        <v>2.5</v>
      </c>
      <c r="CH82" s="38">
        <v>0.5</v>
      </c>
      <c r="CI82" s="477">
        <f>CG82-(CG82-CH82)/2</f>
        <v>1.5</v>
      </c>
    </row>
    <row r="83" spans="84:87" x14ac:dyDescent="0.2">
      <c r="CF83" s="476" t="s">
        <v>150</v>
      </c>
      <c r="CG83" s="38">
        <f t="shared" si="52"/>
        <v>4</v>
      </c>
      <c r="CH83" s="38">
        <v>0.5</v>
      </c>
      <c r="CI83" s="477">
        <f>CG83-(CG83-CH83)/2</f>
        <v>2.25</v>
      </c>
    </row>
    <row r="84" spans="84:87" x14ac:dyDescent="0.2">
      <c r="CF84" s="476" t="s">
        <v>151</v>
      </c>
      <c r="CG84" s="38">
        <f t="shared" si="52"/>
        <v>4</v>
      </c>
      <c r="CH84" s="38">
        <v>0.5</v>
      </c>
      <c r="CI84" s="477">
        <f t="shared" si="53"/>
        <v>2.25</v>
      </c>
    </row>
    <row r="85" spans="84:87" x14ac:dyDescent="0.2">
      <c r="CF85" s="476" t="s">
        <v>152</v>
      </c>
      <c r="CG85" s="38">
        <f t="shared" si="52"/>
        <v>4</v>
      </c>
      <c r="CH85" s="38">
        <v>0.5</v>
      </c>
      <c r="CI85" s="477">
        <f t="shared" si="53"/>
        <v>2.25</v>
      </c>
    </row>
    <row r="86" spans="84:87" x14ac:dyDescent="0.2">
      <c r="CF86" s="476" t="s">
        <v>153</v>
      </c>
      <c r="CG86" s="38">
        <f t="shared" si="52"/>
        <v>4</v>
      </c>
      <c r="CH86" s="38">
        <v>0.5</v>
      </c>
      <c r="CI86" s="477">
        <f t="shared" si="53"/>
        <v>2.25</v>
      </c>
    </row>
    <row r="87" spans="84:87" x14ac:dyDescent="0.2">
      <c r="CF87" s="281" t="s">
        <v>56</v>
      </c>
      <c r="CG87" s="282">
        <v>1</v>
      </c>
      <c r="CH87" s="282">
        <v>0</v>
      </c>
      <c r="CI87" s="283">
        <f t="shared" si="53"/>
        <v>0.5</v>
      </c>
    </row>
  </sheetData>
  <phoneticPr fontId="2" type="noConversion"/>
  <conditionalFormatting sqref="E10:O54">
    <cfRule type="cellIs" dxfId="5" priority="2" stopIfTrue="1" operator="greaterThan">
      <formula>$D10</formula>
    </cfRule>
  </conditionalFormatting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2" r:id="rId4" name="Button 8">
              <controlPr defaultSize="0" print="0" autoFill="0" autoPict="0" macro="[0]!ChartBuilder">
                <anchor moveWithCells="1" sizeWithCells="1">
                  <from>
                    <xdr:col>30</xdr:col>
                    <xdr:colOff>523875</xdr:colOff>
                    <xdr:row>1</xdr:row>
                    <xdr:rowOff>19050</xdr:rowOff>
                  </from>
                  <to>
                    <xdr:col>32</xdr:col>
                    <xdr:colOff>314325</xdr:colOff>
                    <xdr:row>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AS57"/>
  <sheetViews>
    <sheetView zoomScale="75" zoomScaleNormal="100" workbookViewId="0">
      <selection activeCell="D7" sqref="D7"/>
    </sheetView>
  </sheetViews>
  <sheetFormatPr defaultRowHeight="12.75" x14ac:dyDescent="0.2"/>
  <cols>
    <col min="1" max="2" width="9.140625" style="104"/>
    <col min="3" max="3" width="11" style="104" customWidth="1"/>
    <col min="4" max="4" width="10.7109375" style="104" bestFit="1" customWidth="1"/>
    <col min="5" max="5" width="12.7109375" style="104" customWidth="1"/>
    <col min="6" max="6" width="10.42578125" style="104" customWidth="1"/>
    <col min="7" max="25" width="9.140625" style="104"/>
    <col min="26" max="26" width="9.42578125" style="104" bestFit="1" customWidth="1"/>
    <col min="27" max="34" width="9.140625" style="104"/>
    <col min="35" max="35" width="12" style="104" bestFit="1" customWidth="1"/>
    <col min="36" max="16384" width="9.140625" style="104"/>
  </cols>
  <sheetData>
    <row r="1" spans="2:45" ht="21" thickBot="1" x14ac:dyDescent="0.35">
      <c r="C1" s="683" t="s">
        <v>592</v>
      </c>
    </row>
    <row r="2" spans="2:45" ht="15" thickBot="1" x14ac:dyDescent="0.3">
      <c r="B2" s="105"/>
      <c r="C2" s="106" t="s">
        <v>239</v>
      </c>
      <c r="D2" s="107"/>
      <c r="E2" s="107"/>
      <c r="F2" s="108"/>
      <c r="G2" s="109"/>
      <c r="H2" s="168" t="s">
        <v>354</v>
      </c>
      <c r="I2" s="109">
        <f>INT(E3/G24*4)/4</f>
        <v>6.75</v>
      </c>
      <c r="J2" s="109"/>
      <c r="M2"/>
      <c r="N2"/>
      <c r="O2"/>
      <c r="P2"/>
      <c r="Q2"/>
      <c r="R2"/>
      <c r="S2"/>
      <c r="T2"/>
      <c r="V2" s="106" t="s">
        <v>645</v>
      </c>
      <c r="W2" s="110"/>
      <c r="X2" s="110"/>
      <c r="Y2" s="110"/>
      <c r="Z2" s="111"/>
      <c r="AC2" s="106" t="s">
        <v>646</v>
      </c>
      <c r="AD2" s="110"/>
      <c r="AE2" s="110"/>
      <c r="AF2" s="110"/>
      <c r="AG2" s="111"/>
      <c r="AK2" s="112" t="s">
        <v>240</v>
      </c>
    </row>
    <row r="3" spans="2:45" ht="15.75" x14ac:dyDescent="0.3">
      <c r="B3" s="105"/>
      <c r="C3" s="113"/>
      <c r="D3" s="114" t="s">
        <v>241</v>
      </c>
      <c r="E3" s="115">
        <v>12</v>
      </c>
      <c r="F3" s="116" t="s">
        <v>205</v>
      </c>
      <c r="G3" s="109"/>
      <c r="H3" s="168" t="s">
        <v>355</v>
      </c>
      <c r="I3" s="109">
        <f>E55</f>
        <v>6</v>
      </c>
      <c r="J3" s="109">
        <f>12/I3</f>
        <v>2</v>
      </c>
      <c r="M3"/>
      <c r="N3"/>
      <c r="O3" s="706" t="s">
        <v>609</v>
      </c>
      <c r="P3" s="131"/>
      <c r="Q3" s="131"/>
      <c r="R3" s="131"/>
      <c r="S3" s="132"/>
      <c r="T3"/>
      <c r="V3" s="117"/>
      <c r="W3" s="124" t="s">
        <v>243</v>
      </c>
      <c r="X3" s="119">
        <f>Q7*1000</f>
        <v>3986548.4596626009</v>
      </c>
      <c r="Y3" s="119"/>
      <c r="Z3" s="120"/>
      <c r="AC3" s="117"/>
      <c r="AD3" s="124" t="s">
        <v>243</v>
      </c>
      <c r="AE3" s="119">
        <f>X3</f>
        <v>3986548.4596626009</v>
      </c>
      <c r="AF3" s="119"/>
      <c r="AG3" s="120"/>
      <c r="AK3" s="121"/>
    </row>
    <row r="4" spans="2:45" x14ac:dyDescent="0.2">
      <c r="B4" s="105"/>
      <c r="C4" s="113"/>
      <c r="D4" s="114" t="s">
        <v>244</v>
      </c>
      <c r="E4" s="294">
        <f>'English LRFD Working Area'!T2</f>
        <v>11</v>
      </c>
      <c r="F4" s="116" t="s">
        <v>205</v>
      </c>
      <c r="G4" s="109"/>
      <c r="H4" s="109"/>
      <c r="I4" s="109"/>
      <c r="J4" s="109"/>
      <c r="M4"/>
      <c r="N4"/>
      <c r="O4" s="134"/>
      <c r="P4" s="135"/>
      <c r="Q4" s="135"/>
      <c r="R4" s="135"/>
      <c r="S4" s="137"/>
      <c r="T4"/>
      <c r="V4" s="117"/>
      <c r="W4" s="124" t="s">
        <v>245</v>
      </c>
      <c r="X4" s="119">
        <v>29000000</v>
      </c>
      <c r="Y4" s="119"/>
      <c r="Z4" s="120"/>
      <c r="AC4" s="117"/>
      <c r="AD4" s="124" t="s">
        <v>245</v>
      </c>
      <c r="AE4" s="119">
        <f>X4</f>
        <v>29000000</v>
      </c>
      <c r="AF4" s="119"/>
      <c r="AG4" s="120"/>
      <c r="AJ4"/>
      <c r="AK4" s="123" t="str">
        <f>'Bar Sizes'!D26</f>
        <v># 3</v>
      </c>
      <c r="AL4"/>
      <c r="AM4"/>
      <c r="AN4"/>
      <c r="AO4"/>
      <c r="AP4"/>
      <c r="AQ4"/>
      <c r="AR4"/>
    </row>
    <row r="5" spans="2:45" ht="15.75" x14ac:dyDescent="0.3">
      <c r="B5" s="105"/>
      <c r="C5" s="113"/>
      <c r="D5" s="114" t="s">
        <v>246</v>
      </c>
      <c r="E5" s="115">
        <v>4</v>
      </c>
      <c r="F5" s="116" t="s">
        <v>52</v>
      </c>
      <c r="G5" s="109"/>
      <c r="H5" s="109"/>
      <c r="I5" s="109"/>
      <c r="J5" s="109"/>
      <c r="M5"/>
      <c r="N5"/>
      <c r="O5" s="134"/>
      <c r="P5" s="539" t="s">
        <v>610</v>
      </c>
      <c r="Q5" s="135">
        <v>0.14499999999999999</v>
      </c>
      <c r="R5" s="135" t="s">
        <v>613</v>
      </c>
      <c r="S5" s="137"/>
      <c r="T5"/>
      <c r="V5" s="117"/>
      <c r="W5" s="124" t="s">
        <v>247</v>
      </c>
      <c r="X5" s="119">
        <f>ROUND(X4/X3,0)</f>
        <v>7</v>
      </c>
      <c r="Y5" s="119"/>
      <c r="Z5" s="120"/>
      <c r="AC5" s="117"/>
      <c r="AD5" s="705" t="s">
        <v>647</v>
      </c>
      <c r="AE5" s="119">
        <f>X5*2</f>
        <v>14</v>
      </c>
      <c r="AF5" s="119"/>
      <c r="AG5" s="120"/>
      <c r="AJ5"/>
      <c r="AK5" s="123" t="str">
        <f>'Bar Sizes'!D27</f>
        <v># 4</v>
      </c>
      <c r="AL5"/>
      <c r="AM5"/>
      <c r="AN5"/>
      <c r="AO5"/>
      <c r="AP5"/>
      <c r="AQ5"/>
      <c r="AR5"/>
      <c r="AS5"/>
    </row>
    <row r="6" spans="2:45" ht="16.5" thickBot="1" x14ac:dyDescent="0.35">
      <c r="B6" s="105"/>
      <c r="C6" s="113"/>
      <c r="D6" s="114" t="s">
        <v>248</v>
      </c>
      <c r="E6" s="115">
        <v>60</v>
      </c>
      <c r="F6" s="116" t="s">
        <v>52</v>
      </c>
      <c r="G6" s="109"/>
      <c r="H6" s="109"/>
      <c r="I6" s="109"/>
      <c r="M6"/>
      <c r="N6"/>
      <c r="O6" s="134"/>
      <c r="P6" s="539" t="s">
        <v>611</v>
      </c>
      <c r="Q6" s="135">
        <v>1</v>
      </c>
      <c r="R6" s="135" t="s">
        <v>614</v>
      </c>
      <c r="S6" s="137"/>
      <c r="T6"/>
      <c r="V6" s="117"/>
      <c r="W6" s="119" t="s">
        <v>249</v>
      </c>
      <c r="X6" s="119"/>
      <c r="Y6" s="119"/>
      <c r="Z6" s="120"/>
      <c r="AC6" s="117"/>
      <c r="AD6" s="119" t="s">
        <v>249</v>
      </c>
      <c r="AE6" s="119"/>
      <c r="AF6" s="119"/>
      <c r="AG6" s="120"/>
      <c r="AJ6"/>
      <c r="AK6" s="123" t="str">
        <f>'Bar Sizes'!D28</f>
        <v># 5</v>
      </c>
      <c r="AL6"/>
      <c r="AM6"/>
      <c r="AN6"/>
      <c r="AO6"/>
      <c r="AP6"/>
      <c r="AQ6"/>
      <c r="AR6"/>
      <c r="AS6"/>
    </row>
    <row r="7" spans="2:45" ht="16.5" thickBot="1" x14ac:dyDescent="0.35">
      <c r="B7" s="105"/>
      <c r="C7" s="113"/>
      <c r="D7" s="114" t="s">
        <v>250</v>
      </c>
      <c r="E7" s="294">
        <f>'English LRFD Working Area'!T3*12</f>
        <v>311.33625000000001</v>
      </c>
      <c r="F7" s="116" t="s">
        <v>251</v>
      </c>
      <c r="G7" s="109"/>
      <c r="H7" s="39" t="s">
        <v>333</v>
      </c>
      <c r="I7" s="225">
        <f>INT(E3/G24*4)/4</f>
        <v>6.75</v>
      </c>
      <c r="M7"/>
      <c r="N7"/>
      <c r="O7" s="155"/>
      <c r="P7" s="533" t="s">
        <v>612</v>
      </c>
      <c r="Q7" s="156">
        <f>120000*Q6*Q5^2*E5^0.33</f>
        <v>3986.5484596626011</v>
      </c>
      <c r="R7" s="156" t="s">
        <v>52</v>
      </c>
      <c r="S7" s="510"/>
      <c r="T7"/>
      <c r="V7" s="117"/>
      <c r="W7" s="119"/>
      <c r="X7" s="125" t="s">
        <v>1</v>
      </c>
      <c r="Y7" s="119">
        <f>E3/2</f>
        <v>6</v>
      </c>
      <c r="Z7" s="120"/>
      <c r="AC7" s="117"/>
      <c r="AD7" s="119"/>
      <c r="AE7" s="125" t="s">
        <v>1</v>
      </c>
      <c r="AF7" s="119">
        <f>E3/2</f>
        <v>6</v>
      </c>
      <c r="AG7" s="120"/>
      <c r="AJ7"/>
      <c r="AK7" s="123" t="str">
        <f>'Bar Sizes'!D29</f>
        <v># 6</v>
      </c>
      <c r="AL7"/>
      <c r="AM7"/>
      <c r="AN7"/>
      <c r="AO7"/>
      <c r="AP7"/>
      <c r="AQ7"/>
      <c r="AR7"/>
      <c r="AS7"/>
    </row>
    <row r="8" spans="2:45" x14ac:dyDescent="0.2">
      <c r="B8" s="105"/>
      <c r="C8" s="113"/>
      <c r="D8" s="114" t="s">
        <v>649</v>
      </c>
      <c r="E8" s="294">
        <f>'English LRFD Working Area'!V3*12</f>
        <v>146.76</v>
      </c>
      <c r="F8" s="116" t="s">
        <v>251</v>
      </c>
      <c r="G8" s="109"/>
      <c r="H8" s="109"/>
      <c r="I8" s="109"/>
      <c r="M8"/>
      <c r="N8"/>
      <c r="O8"/>
      <c r="P8"/>
      <c r="Q8"/>
      <c r="R8"/>
      <c r="S8"/>
      <c r="T8"/>
      <c r="V8" s="117"/>
      <c r="W8" s="119"/>
      <c r="X8" s="125" t="s">
        <v>253</v>
      </c>
      <c r="Y8" s="119">
        <f>X30*X5</f>
        <v>6.16</v>
      </c>
      <c r="Z8" s="120"/>
      <c r="AC8" s="117"/>
      <c r="AD8" s="119"/>
      <c r="AE8" s="125" t="s">
        <v>253</v>
      </c>
      <c r="AF8" s="119">
        <f>X30*AE5</f>
        <v>12.32</v>
      </c>
      <c r="AG8" s="120"/>
      <c r="AJ8"/>
      <c r="AK8" s="123" t="str">
        <f>'Bar Sizes'!D30</f>
        <v># 7</v>
      </c>
      <c r="AL8"/>
      <c r="AM8"/>
      <c r="AN8"/>
      <c r="AO8"/>
      <c r="AP8"/>
      <c r="AQ8"/>
      <c r="AR8"/>
      <c r="AS8"/>
    </row>
    <row r="9" spans="2:45" x14ac:dyDescent="0.2">
      <c r="B9" s="105"/>
      <c r="C9" s="113"/>
      <c r="D9" s="114" t="s">
        <v>648</v>
      </c>
      <c r="E9" s="294">
        <f>'English LRFD Working Area'!V2*12</f>
        <v>42.525000000000006</v>
      </c>
      <c r="F9" s="116" t="s">
        <v>251</v>
      </c>
      <c r="M9"/>
      <c r="N9"/>
      <c r="O9"/>
      <c r="P9"/>
      <c r="Q9"/>
      <c r="R9"/>
      <c r="S9"/>
      <c r="T9"/>
      <c r="V9" s="117"/>
      <c r="W9" s="119"/>
      <c r="X9" s="125" t="s">
        <v>254</v>
      </c>
      <c r="Y9" s="119">
        <f>-AA30*X5</f>
        <v>-50.050000000000004</v>
      </c>
      <c r="Z9" s="120"/>
      <c r="AC9" s="117"/>
      <c r="AD9" s="119"/>
      <c r="AE9" s="125" t="s">
        <v>254</v>
      </c>
      <c r="AF9" s="119">
        <f>-AA30*AE5</f>
        <v>-100.10000000000001</v>
      </c>
      <c r="AG9" s="120"/>
      <c r="AJ9"/>
      <c r="AK9" s="123" t="str">
        <f>'Bar Sizes'!D31</f>
        <v># 8</v>
      </c>
      <c r="AL9"/>
      <c r="AM9"/>
      <c r="AN9"/>
      <c r="AO9"/>
      <c r="AP9"/>
      <c r="AQ9"/>
      <c r="AR9"/>
      <c r="AS9"/>
    </row>
    <row r="10" spans="2:45" x14ac:dyDescent="0.2">
      <c r="B10" s="105"/>
      <c r="C10" s="113"/>
      <c r="D10" s="118"/>
      <c r="E10" s="118"/>
      <c r="F10" s="116"/>
      <c r="G10" s="109"/>
      <c r="I10" s="109"/>
      <c r="J10" s="109"/>
      <c r="M10"/>
      <c r="N10"/>
      <c r="O10"/>
      <c r="P10"/>
      <c r="Q10"/>
      <c r="R10"/>
      <c r="S10"/>
      <c r="T10"/>
      <c r="V10" s="117"/>
      <c r="W10" s="119"/>
      <c r="X10" s="125" t="s">
        <v>257</v>
      </c>
      <c r="Y10" s="118">
        <f>(-Y8-SQRT(Y8*Y8-4*Y7*Y9))/2/Y7</f>
        <v>-3.4467916640034275</v>
      </c>
      <c r="Z10" s="120"/>
      <c r="AC10" s="117"/>
      <c r="AD10" s="119"/>
      <c r="AE10" s="125" t="s">
        <v>257</v>
      </c>
      <c r="AF10" s="118">
        <f>(-AF8-SQRT(AF8*AF8-4*AF7*AF9))/2/AF7</f>
        <v>-5.2382433046702754</v>
      </c>
      <c r="AG10" s="120"/>
      <c r="AJ10"/>
      <c r="AK10" s="123" t="str">
        <f>'Bar Sizes'!D32</f>
        <v># 9</v>
      </c>
      <c r="AL10"/>
      <c r="AM10"/>
      <c r="AN10"/>
      <c r="AO10"/>
      <c r="AP10"/>
      <c r="AQ10"/>
      <c r="AR10"/>
      <c r="AS10"/>
    </row>
    <row r="11" spans="2:45" x14ac:dyDescent="0.2">
      <c r="B11" s="105"/>
      <c r="C11" s="113"/>
      <c r="D11" s="114" t="s">
        <v>256</v>
      </c>
      <c r="E11" s="295">
        <f>'English LRFD Working Area'!T1</f>
        <v>2.5</v>
      </c>
      <c r="F11" s="116" t="s">
        <v>205</v>
      </c>
      <c r="G11" s="109"/>
      <c r="H11" s="109"/>
      <c r="I11" s="109"/>
      <c r="J11" s="109"/>
      <c r="M11"/>
      <c r="N11"/>
      <c r="O11"/>
      <c r="P11"/>
      <c r="Q11"/>
      <c r="R11"/>
      <c r="S11"/>
      <c r="T11"/>
      <c r="V11" s="117"/>
      <c r="W11" s="119"/>
      <c r="X11" s="125" t="s">
        <v>260</v>
      </c>
      <c r="Y11" s="118">
        <f>(-Y8+SQRT(Y8*Y8-4*Y7*Y9))/2/Y7</f>
        <v>2.4201249973367611</v>
      </c>
      <c r="Z11" s="120"/>
      <c r="AC11" s="117"/>
      <c r="AD11" s="119"/>
      <c r="AE11" s="125" t="s">
        <v>260</v>
      </c>
      <c r="AF11" s="118">
        <f>(-AF8+SQRT(AF8*AF8-4*AF7*AF9))/2/AF7</f>
        <v>3.1849099713369422</v>
      </c>
      <c r="AG11" s="120"/>
      <c r="AJ11"/>
      <c r="AK11" s="123" t="str">
        <f>'Bar Sizes'!D33</f>
        <v># 10</v>
      </c>
      <c r="AL11"/>
      <c r="AM11"/>
      <c r="AN11"/>
      <c r="AO11"/>
      <c r="AP11"/>
      <c r="AQ11"/>
      <c r="AR11"/>
      <c r="AS11"/>
    </row>
    <row r="12" spans="2:45" ht="13.5" thickBot="1" x14ac:dyDescent="0.25">
      <c r="B12" s="105"/>
      <c r="C12" s="113"/>
      <c r="D12" s="114" t="s">
        <v>259</v>
      </c>
      <c r="E12" s="133">
        <v>0</v>
      </c>
      <c r="F12" s="116" t="s">
        <v>205</v>
      </c>
      <c r="G12" s="109"/>
      <c r="H12" s="109"/>
      <c r="I12" s="109"/>
      <c r="J12" s="109"/>
      <c r="M12"/>
      <c r="N12"/>
      <c r="O12"/>
      <c r="P12"/>
      <c r="Q12"/>
      <c r="R12"/>
      <c r="S12"/>
      <c r="T12"/>
      <c r="V12" s="126"/>
      <c r="W12" s="127"/>
      <c r="X12" s="140" t="s">
        <v>252</v>
      </c>
      <c r="Y12" s="127">
        <f>MAX(Y10:Y11)</f>
        <v>2.4201249973367611</v>
      </c>
      <c r="Z12" s="141" t="s">
        <v>204</v>
      </c>
      <c r="AC12" s="126"/>
      <c r="AD12" s="127"/>
      <c r="AE12" s="140" t="s">
        <v>252</v>
      </c>
      <c r="AF12" s="127">
        <f>MAX(AF10:AF11)</f>
        <v>3.1849099713369422</v>
      </c>
      <c r="AG12" s="141" t="s">
        <v>204</v>
      </c>
      <c r="AJ12"/>
      <c r="AK12" s="123" t="str">
        <f>'Bar Sizes'!D34</f>
        <v># 11</v>
      </c>
      <c r="AL12"/>
      <c r="AM12"/>
      <c r="AN12"/>
      <c r="AO12"/>
      <c r="AP12"/>
      <c r="AQ12"/>
      <c r="AR12"/>
      <c r="AS12"/>
    </row>
    <row r="13" spans="2:45" ht="13.5" thickBot="1" x14ac:dyDescent="0.25">
      <c r="B13" s="105"/>
      <c r="C13" s="138"/>
      <c r="D13" s="128" t="s">
        <v>261</v>
      </c>
      <c r="E13" s="139"/>
      <c r="F13" s="129"/>
      <c r="G13" s="109"/>
      <c r="H13" s="109"/>
      <c r="I13" s="109"/>
      <c r="J13" s="109"/>
      <c r="M13"/>
      <c r="N13"/>
      <c r="O13"/>
      <c r="P13"/>
      <c r="Q13"/>
      <c r="R13"/>
      <c r="S13"/>
      <c r="T13"/>
      <c r="AJ13"/>
      <c r="AK13" s="123" t="str">
        <f>'Bar Sizes'!D35</f>
        <v># 14</v>
      </c>
      <c r="AL13"/>
      <c r="AM13"/>
      <c r="AN13"/>
      <c r="AO13"/>
      <c r="AP13"/>
      <c r="AQ13"/>
      <c r="AR13"/>
      <c r="AS13"/>
    </row>
    <row r="14" spans="2:45" ht="13.5" thickBot="1" x14ac:dyDescent="0.25">
      <c r="B14" s="105"/>
      <c r="C14" s="105"/>
      <c r="D14" s="105"/>
      <c r="E14" s="105"/>
      <c r="F14" s="105"/>
      <c r="G14" s="105"/>
      <c r="H14" s="105"/>
      <c r="I14" s="105"/>
      <c r="J14" s="105"/>
      <c r="M14"/>
      <c r="N14"/>
      <c r="O14"/>
      <c r="P14"/>
      <c r="Q14"/>
      <c r="R14"/>
      <c r="S14"/>
      <c r="T14"/>
      <c r="V14" s="106" t="s">
        <v>255</v>
      </c>
      <c r="W14" s="110"/>
      <c r="X14" s="110"/>
      <c r="Y14" s="110"/>
      <c r="Z14" s="110"/>
      <c r="AA14" s="111"/>
      <c r="AC14" s="106" t="s">
        <v>255</v>
      </c>
      <c r="AD14" s="110"/>
      <c r="AE14" s="110"/>
      <c r="AF14" s="110"/>
      <c r="AG14" s="110"/>
      <c r="AH14" s="111"/>
      <c r="AJ14"/>
      <c r="AK14" s="144" t="str">
        <f>'Bar Sizes'!D36</f>
        <v># 18</v>
      </c>
      <c r="AL14"/>
      <c r="AM14"/>
      <c r="AN14"/>
      <c r="AO14"/>
      <c r="AP14"/>
      <c r="AQ14"/>
      <c r="AR14"/>
      <c r="AS14"/>
    </row>
    <row r="15" spans="2:45" x14ac:dyDescent="0.2">
      <c r="B15" s="105"/>
      <c r="C15" s="106" t="s">
        <v>264</v>
      </c>
      <c r="D15" s="107"/>
      <c r="E15" s="107"/>
      <c r="F15" s="107"/>
      <c r="G15" s="107"/>
      <c r="H15" s="107"/>
      <c r="I15" s="107"/>
      <c r="J15" s="108"/>
      <c r="M15"/>
      <c r="N15"/>
      <c r="O15"/>
      <c r="P15"/>
      <c r="Q15"/>
      <c r="R15"/>
      <c r="S15"/>
      <c r="T15"/>
      <c r="V15" s="117"/>
      <c r="W15" s="119"/>
      <c r="X15" s="119"/>
      <c r="Y15" s="124" t="s">
        <v>258</v>
      </c>
      <c r="Z15" s="119">
        <f>E3*Y12^3/3</f>
        <v>56.698736866574571</v>
      </c>
      <c r="AA15" s="120"/>
      <c r="AC15" s="117"/>
      <c r="AD15" s="119"/>
      <c r="AE15" s="119"/>
      <c r="AF15" s="124" t="s">
        <v>258</v>
      </c>
      <c r="AG15" s="119">
        <f>E3*AF12^3/3</f>
        <v>129.22646755760221</v>
      </c>
      <c r="AH15" s="120"/>
      <c r="AJ15"/>
      <c r="AK15"/>
      <c r="AL15"/>
      <c r="AM15"/>
      <c r="AN15"/>
      <c r="AO15"/>
      <c r="AP15"/>
      <c r="AQ15"/>
      <c r="AR15"/>
      <c r="AS15"/>
    </row>
    <row r="16" spans="2:45" x14ac:dyDescent="0.2">
      <c r="B16" s="105"/>
      <c r="C16" s="146"/>
      <c r="D16" s="147" t="s">
        <v>266</v>
      </c>
      <c r="E16" s="148">
        <v>0.9</v>
      </c>
      <c r="F16" s="149"/>
      <c r="G16" s="149" t="str">
        <f>"Calculated phi = "&amp;TEXT(R49,"0.##0")&amp;IF(R49=E16, "  OK","    Caution")</f>
        <v>Calculated phi = 0.90  OK</v>
      </c>
      <c r="H16" s="149"/>
      <c r="I16" s="149"/>
      <c r="J16" s="150"/>
      <c r="M16"/>
      <c r="N16"/>
      <c r="O16"/>
      <c r="P16"/>
      <c r="Q16"/>
      <c r="R16"/>
      <c r="S16"/>
      <c r="T16"/>
      <c r="V16" s="117"/>
      <c r="W16" s="119" t="s">
        <v>56</v>
      </c>
      <c r="X16" s="119"/>
      <c r="Y16" s="124" t="str">
        <f>D23</f>
        <v>2nd Layer</v>
      </c>
      <c r="Z16" s="119">
        <f>X28*X5*(Z28-Y12)^2</f>
        <v>0</v>
      </c>
      <c r="AA16" s="120"/>
      <c r="AC16" s="117"/>
      <c r="AD16" s="119" t="s">
        <v>56</v>
      </c>
      <c r="AE16" s="119"/>
      <c r="AF16" s="124" t="str">
        <f>Y16</f>
        <v>2nd Layer</v>
      </c>
      <c r="AG16" s="119">
        <f>X28*X5*(Z28-Y12)^2</f>
        <v>0</v>
      </c>
      <c r="AH16" s="120"/>
      <c r="AJ16"/>
      <c r="AK16"/>
      <c r="AL16"/>
      <c r="AM16"/>
      <c r="AN16"/>
      <c r="AO16"/>
      <c r="AP16"/>
      <c r="AQ16"/>
      <c r="AR16"/>
      <c r="AS16"/>
    </row>
    <row r="17" spans="2:45" ht="15" x14ac:dyDescent="0.25">
      <c r="B17" s="105"/>
      <c r="C17" s="113"/>
      <c r="D17" s="114" t="s">
        <v>319</v>
      </c>
      <c r="E17" s="153">
        <f>S31</f>
        <v>0.76216850089267918</v>
      </c>
      <c r="F17" s="118" t="s">
        <v>320</v>
      </c>
      <c r="G17" s="154" t="str">
        <f>IF(R42&gt;=0.005,"Tension Controlled, OK",IF(R42&lt;0.004,"Over-Reinforced, NG","Transition Zone, Caution"))</f>
        <v>Tension Controlled, OK</v>
      </c>
      <c r="H17" s="118"/>
      <c r="I17" s="118"/>
      <c r="J17" s="116"/>
      <c r="M17"/>
      <c r="N17"/>
      <c r="O17"/>
      <c r="P17"/>
      <c r="Q17"/>
      <c r="R17"/>
      <c r="S17"/>
      <c r="T17"/>
      <c r="V17" s="117"/>
      <c r="W17" s="119" t="s">
        <v>56</v>
      </c>
      <c r="X17" s="119"/>
      <c r="Y17" s="124" t="str">
        <f>D24</f>
        <v>Bottom Layer</v>
      </c>
      <c r="Z17" s="119">
        <f>X29*X5*(Z29-Y12)^2</f>
        <v>200.48088858343323</v>
      </c>
      <c r="AA17" s="120"/>
      <c r="AC17" s="117"/>
      <c r="AD17" s="119" t="s">
        <v>56</v>
      </c>
      <c r="AE17" s="119"/>
      <c r="AF17" s="124" t="str">
        <f>Y17</f>
        <v>Bottom Layer</v>
      </c>
      <c r="AG17" s="119">
        <f>X29*AE5*(Z29-AF12)^2</f>
        <v>300.66331053276878</v>
      </c>
      <c r="AH17" s="120"/>
      <c r="AJ17"/>
      <c r="AK17"/>
      <c r="AL17"/>
      <c r="AM17"/>
      <c r="AN17"/>
      <c r="AO17"/>
      <c r="AP17"/>
      <c r="AQ17"/>
      <c r="AR17"/>
      <c r="AS17"/>
    </row>
    <row r="18" spans="2:45" ht="15" x14ac:dyDescent="0.25">
      <c r="B18" s="105"/>
      <c r="C18" s="113"/>
      <c r="D18" s="114" t="s">
        <v>321</v>
      </c>
      <c r="E18" s="153">
        <f>MAX(R53:R54)</f>
        <v>0.32500000000000001</v>
      </c>
      <c r="F18" s="118" t="s">
        <v>320</v>
      </c>
      <c r="G18" s="158" t="str">
        <f>IF(E19&gt;E17,"Minimum Steel Controls","")</f>
        <v/>
      </c>
      <c r="H18" s="118"/>
      <c r="I18" s="118"/>
      <c r="J18" s="116"/>
      <c r="M18"/>
      <c r="N18"/>
      <c r="O18"/>
      <c r="P18"/>
      <c r="Q18"/>
      <c r="R18"/>
      <c r="S18"/>
      <c r="T18"/>
      <c r="V18" s="113"/>
      <c r="W18" s="118"/>
      <c r="X18" s="118"/>
      <c r="Y18" s="114" t="s">
        <v>262</v>
      </c>
      <c r="Z18" s="118">
        <f>SUM(Z15:Z17)</f>
        <v>257.17962545000779</v>
      </c>
      <c r="AA18" s="116" t="s">
        <v>263</v>
      </c>
      <c r="AB18" s="105"/>
      <c r="AC18" s="113"/>
      <c r="AD18" s="118"/>
      <c r="AE18" s="118"/>
      <c r="AF18" s="114" t="s">
        <v>262</v>
      </c>
      <c r="AG18" s="118">
        <f>SUM(AG15:AG17)</f>
        <v>429.88977809037101</v>
      </c>
      <c r="AH18" s="116" t="s">
        <v>263</v>
      </c>
      <c r="AJ18"/>
      <c r="AK18"/>
      <c r="AL18"/>
      <c r="AM18"/>
      <c r="AN18"/>
      <c r="AO18"/>
      <c r="AP18"/>
      <c r="AQ18"/>
      <c r="AR18"/>
      <c r="AS18"/>
    </row>
    <row r="19" spans="2:45" ht="15.75" thickBot="1" x14ac:dyDescent="0.3">
      <c r="B19" s="105"/>
      <c r="C19" s="138"/>
      <c r="D19" s="128" t="s">
        <v>322</v>
      </c>
      <c r="E19" s="159">
        <f>R55</f>
        <v>0.76216850089267918</v>
      </c>
      <c r="F19" s="160" t="s">
        <v>320</v>
      </c>
      <c r="G19" s="161" t="str">
        <f>IF(I25&lt;E19,"Steel Area Too Low!","")</f>
        <v/>
      </c>
      <c r="H19" s="160"/>
      <c r="I19" s="160"/>
      <c r="J19" s="129"/>
      <c r="M19" s="105"/>
      <c r="V19" s="113"/>
      <c r="W19" s="118"/>
      <c r="X19" s="118"/>
      <c r="Y19" s="114" t="s">
        <v>265</v>
      </c>
      <c r="Z19" s="118">
        <f>ROUND(E8*(AA32-Y12)/Z18*X5,2)</f>
        <v>22.79</v>
      </c>
      <c r="AA19" s="116" t="s">
        <v>52</v>
      </c>
      <c r="AB19" s="105"/>
      <c r="AC19" s="113"/>
      <c r="AD19" s="118"/>
      <c r="AE19" s="118"/>
      <c r="AF19" s="114" t="s">
        <v>265</v>
      </c>
      <c r="AG19" s="118">
        <f>ROUND(E9*(AA32-AF12)/AG18*AE5,2)</f>
        <v>6.84</v>
      </c>
      <c r="AH19" s="116" t="s">
        <v>52</v>
      </c>
      <c r="AJ19"/>
      <c r="AK19"/>
      <c r="AL19"/>
      <c r="AM19"/>
      <c r="AN19"/>
      <c r="AO19"/>
      <c r="AP19"/>
      <c r="AQ19"/>
      <c r="AR19"/>
      <c r="AS19"/>
    </row>
    <row r="20" spans="2:45" ht="13.5" thickBot="1" x14ac:dyDescent="0.25">
      <c r="B20" s="105"/>
      <c r="D20" s="105"/>
      <c r="E20" s="105"/>
      <c r="F20" s="105"/>
      <c r="G20" s="105"/>
      <c r="H20" s="105"/>
      <c r="I20" s="105"/>
      <c r="J20" s="105"/>
      <c r="M20" s="105"/>
      <c r="N20" s="163" t="s">
        <v>269</v>
      </c>
      <c r="O20" s="164"/>
      <c r="P20" s="164"/>
      <c r="Q20" s="164"/>
      <c r="R20" s="164"/>
      <c r="S20" s="164"/>
      <c r="T20" s="165"/>
      <c r="V20" s="117"/>
      <c r="W20" s="119"/>
      <c r="X20" s="119"/>
      <c r="Y20" s="151" t="s">
        <v>267</v>
      </c>
      <c r="Z20" s="119">
        <f>ROUND(E8*(Y12)/Z18,3)</f>
        <v>1.381</v>
      </c>
      <c r="AA20" s="116" t="s">
        <v>52</v>
      </c>
      <c r="AC20" s="117"/>
      <c r="AD20" s="119"/>
      <c r="AE20" s="119"/>
      <c r="AF20" s="151" t="s">
        <v>267</v>
      </c>
      <c r="AG20" s="119">
        <f>ROUND(E9*(AF12)/AG18,3)</f>
        <v>0.315</v>
      </c>
      <c r="AH20" s="116" t="s">
        <v>52</v>
      </c>
      <c r="AJ20"/>
      <c r="AK20"/>
      <c r="AL20"/>
      <c r="AM20"/>
      <c r="AN20"/>
      <c r="AO20"/>
      <c r="AP20"/>
      <c r="AQ20"/>
      <c r="AR20"/>
      <c r="AS20"/>
    </row>
    <row r="21" spans="2:45" ht="13.5" thickBot="1" x14ac:dyDescent="0.25">
      <c r="B21" s="105"/>
      <c r="C21" s="163" t="s">
        <v>270</v>
      </c>
      <c r="D21" s="164"/>
      <c r="E21" s="164"/>
      <c r="F21" s="164"/>
      <c r="G21" s="164"/>
      <c r="H21" s="164"/>
      <c r="I21" s="164"/>
      <c r="J21" s="165"/>
      <c r="M21" s="105"/>
      <c r="N21" s="170" t="s">
        <v>276</v>
      </c>
      <c r="O21" s="109"/>
      <c r="P21" s="109"/>
      <c r="Q21" s="109"/>
      <c r="R21" s="109"/>
      <c r="S21" s="109"/>
      <c r="T21" s="169"/>
      <c r="V21" s="126"/>
      <c r="W21" s="127"/>
      <c r="X21" s="127"/>
      <c r="Y21" s="140" t="s">
        <v>268</v>
      </c>
      <c r="Z21" s="127">
        <v>0</v>
      </c>
      <c r="AA21" s="129" t="s">
        <v>52</v>
      </c>
      <c r="AC21" s="126"/>
      <c r="AD21" s="127"/>
      <c r="AE21" s="127"/>
      <c r="AF21" s="140" t="s">
        <v>268</v>
      </c>
      <c r="AG21" s="127">
        <v>0</v>
      </c>
      <c r="AH21" s="129" t="s">
        <v>52</v>
      </c>
      <c r="AJ21"/>
      <c r="AK21"/>
      <c r="AL21"/>
      <c r="AM21"/>
      <c r="AN21"/>
      <c r="AO21"/>
      <c r="AP21"/>
      <c r="AQ21"/>
      <c r="AR21"/>
      <c r="AS21"/>
    </row>
    <row r="22" spans="2:45" ht="13.5" thickBot="1" x14ac:dyDescent="0.25">
      <c r="B22" s="105"/>
      <c r="C22" s="146"/>
      <c r="D22" s="109"/>
      <c r="E22" s="166" t="s">
        <v>271</v>
      </c>
      <c r="F22" s="166" t="s">
        <v>272</v>
      </c>
      <c r="G22" s="167" t="s">
        <v>273</v>
      </c>
      <c r="H22" s="166" t="s">
        <v>274</v>
      </c>
      <c r="I22" s="168" t="s">
        <v>275</v>
      </c>
      <c r="J22" s="169"/>
      <c r="M22" s="105"/>
      <c r="N22" s="113"/>
      <c r="O22" s="118"/>
      <c r="P22" s="118"/>
      <c r="Q22" s="114"/>
      <c r="R22" s="105"/>
      <c r="S22" s="118"/>
      <c r="T22" s="116"/>
      <c r="V22" s="105"/>
      <c r="W22" s="105"/>
      <c r="X22" s="105"/>
      <c r="Y22" s="105"/>
      <c r="Z22" s="105"/>
      <c r="AA22" s="105"/>
      <c r="AB22" s="105"/>
      <c r="AC22" s="105"/>
      <c r="AJ22"/>
      <c r="AK22"/>
      <c r="AL22"/>
      <c r="AM22"/>
      <c r="AN22"/>
      <c r="AO22"/>
      <c r="AP22"/>
      <c r="AQ22"/>
      <c r="AR22"/>
      <c r="AS22"/>
    </row>
    <row r="23" spans="2:45" x14ac:dyDescent="0.2">
      <c r="B23" s="105"/>
      <c r="C23" s="171"/>
      <c r="D23" s="172" t="s">
        <v>277</v>
      </c>
      <c r="E23" s="173"/>
      <c r="F23" s="173"/>
      <c r="G23" s="174" t="str">
        <f>IF(H23&gt;0,(E19-I24)/H23,"")</f>
        <v/>
      </c>
      <c r="H23" s="175">
        <f>IF(ISNUMBER(VLOOKUP(E23,'Bar Sizes'!$D$8:$J$18,3)),VLOOKUP(E23,'Bar Sizes'!$D$8:$J$18,3),0)</f>
        <v>0</v>
      </c>
      <c r="I23" s="176">
        <f>F23*H23</f>
        <v>0</v>
      </c>
      <c r="J23" s="177"/>
      <c r="M23" s="105"/>
      <c r="N23" s="113"/>
      <c r="O23" s="118"/>
      <c r="P23" s="118"/>
      <c r="Q23" s="114"/>
      <c r="R23" s="179">
        <f>X24</f>
        <v>8.125</v>
      </c>
      <c r="S23" s="118" t="s">
        <v>205</v>
      </c>
      <c r="T23" s="116"/>
      <c r="V23" s="106" t="s">
        <v>279</v>
      </c>
      <c r="W23" s="107"/>
      <c r="X23" s="107"/>
      <c r="Y23" s="107"/>
      <c r="Z23" s="107"/>
      <c r="AA23" s="107"/>
      <c r="AB23" s="108"/>
      <c r="AC23" s="105"/>
      <c r="AJ23"/>
      <c r="AK23"/>
      <c r="AL23"/>
      <c r="AM23"/>
      <c r="AN23"/>
      <c r="AO23"/>
      <c r="AP23"/>
      <c r="AQ23"/>
      <c r="AR23"/>
      <c r="AS23"/>
    </row>
    <row r="24" spans="2:45" x14ac:dyDescent="0.2">
      <c r="B24" s="105"/>
      <c r="C24" s="117"/>
      <c r="D24" s="114" t="s">
        <v>278</v>
      </c>
      <c r="E24" s="295" t="str">
        <f>'English LRFD Working Area'!T4</f>
        <v># 6</v>
      </c>
      <c r="F24" s="295">
        <f>'English LRFD Working Area'!V4</f>
        <v>2</v>
      </c>
      <c r="G24" s="178">
        <f>IF(H24&gt;0,(E19-I23)/H24,"")</f>
        <v>1.7322011383924527</v>
      </c>
      <c r="H24" s="125">
        <f>IF(ISNUMBER(VLOOKUP(E24,'Bar Sizes'!$D$8:$J$18,3)),VLOOKUP(E24,'Bar Sizes'!$D$8:$J$18,3),0)</f>
        <v>0.44</v>
      </c>
      <c r="I24" s="118">
        <f>F24*H24</f>
        <v>0.88</v>
      </c>
      <c r="J24" s="116"/>
      <c r="M24" s="105"/>
      <c r="N24" s="113"/>
      <c r="O24" s="118"/>
      <c r="P24" s="114" t="s">
        <v>281</v>
      </c>
      <c r="Q24" s="179">
        <f>E16</f>
        <v>0.9</v>
      </c>
      <c r="R24" s="118"/>
      <c r="S24" s="118"/>
      <c r="T24" s="116"/>
      <c r="V24" s="113"/>
      <c r="W24" s="114" t="s">
        <v>282</v>
      </c>
      <c r="X24" s="118">
        <f>IF(Y29&gt;0,AA31,E4-E11-Z39-0.5)</f>
        <v>8.125</v>
      </c>
      <c r="Y24" s="118"/>
      <c r="Z24" s="118"/>
      <c r="AA24" s="118"/>
      <c r="AB24" s="116"/>
      <c r="AC24" s="105"/>
      <c r="AJ24"/>
      <c r="AK24"/>
      <c r="AL24"/>
      <c r="AM24"/>
      <c r="AN24"/>
      <c r="AO24"/>
      <c r="AP24"/>
      <c r="AQ24"/>
      <c r="AR24"/>
      <c r="AS24"/>
    </row>
    <row r="25" spans="2:45" x14ac:dyDescent="0.2">
      <c r="B25" s="105"/>
      <c r="C25" s="180"/>
      <c r="D25" s="181" t="s">
        <v>280</v>
      </c>
      <c r="E25" s="182">
        <v>1</v>
      </c>
      <c r="F25" s="183" t="s">
        <v>205</v>
      </c>
      <c r="G25" s="181"/>
      <c r="H25" s="181" t="s">
        <v>84</v>
      </c>
      <c r="I25" s="183">
        <f>SUM(I23:I24)</f>
        <v>0.88</v>
      </c>
      <c r="J25" s="184"/>
      <c r="M25" s="105"/>
      <c r="N25" s="113"/>
      <c r="O25" s="118"/>
      <c r="P25" s="118"/>
      <c r="Q25" s="118"/>
      <c r="R25" s="118"/>
      <c r="S25" s="118"/>
      <c r="T25" s="116"/>
      <c r="V25" s="113"/>
      <c r="W25" s="114" t="s">
        <v>284</v>
      </c>
      <c r="X25" s="118">
        <f>IF(Y29&gt;0,AA32,X24)</f>
        <v>8.125</v>
      </c>
      <c r="Y25" s="118"/>
      <c r="Z25" s="118"/>
      <c r="AA25" s="118"/>
      <c r="AB25" s="116"/>
      <c r="AC25" s="105"/>
      <c r="AJ25"/>
      <c r="AK25"/>
      <c r="AL25"/>
      <c r="AM25"/>
      <c r="AN25"/>
      <c r="AO25"/>
      <c r="AP25"/>
      <c r="AQ25"/>
      <c r="AR25"/>
      <c r="AS25"/>
    </row>
    <row r="26" spans="2:45" ht="15.75" x14ac:dyDescent="0.3">
      <c r="B26" s="105"/>
      <c r="C26" s="171"/>
      <c r="D26" s="185" t="s">
        <v>283</v>
      </c>
      <c r="E26" s="186">
        <f>AA31</f>
        <v>8.125</v>
      </c>
      <c r="F26" s="187" t="s">
        <v>205</v>
      </c>
      <c r="H26" s="188" t="s">
        <v>323</v>
      </c>
      <c r="I26" s="186">
        <f>AA32</f>
        <v>8.125</v>
      </c>
      <c r="J26" s="189"/>
      <c r="M26" s="105"/>
      <c r="N26" s="113"/>
      <c r="O26" s="118"/>
      <c r="P26" s="192" t="s">
        <v>286</v>
      </c>
      <c r="Q26" s="118"/>
      <c r="R26" s="118"/>
      <c r="S26" s="118"/>
      <c r="T26" s="116"/>
      <c r="V26" s="113"/>
      <c r="W26" s="118"/>
      <c r="X26" s="118"/>
      <c r="Y26" s="118"/>
      <c r="Z26" s="118"/>
      <c r="AA26" s="118"/>
      <c r="AB26" s="116"/>
      <c r="AC26" s="105"/>
      <c r="AJ26"/>
      <c r="AK26"/>
      <c r="AL26"/>
      <c r="AM26"/>
      <c r="AN26"/>
      <c r="AO26"/>
      <c r="AP26"/>
      <c r="AQ26"/>
      <c r="AR26"/>
    </row>
    <row r="27" spans="2:45" ht="13.5" thickBot="1" x14ac:dyDescent="0.25">
      <c r="B27" s="105"/>
      <c r="C27" s="126"/>
      <c r="D27" s="160"/>
      <c r="E27" s="160"/>
      <c r="F27" s="160"/>
      <c r="G27" s="190" t="s">
        <v>285</v>
      </c>
      <c r="H27" s="191">
        <f>I25/E19</f>
        <v>1.1546003265279428</v>
      </c>
      <c r="I27" s="160"/>
      <c r="J27" s="129"/>
      <c r="M27" s="105"/>
      <c r="N27" s="113"/>
      <c r="O27" s="118"/>
      <c r="P27" s="125" t="s">
        <v>1</v>
      </c>
      <c r="Q27" s="118">
        <f>E6*E6/0.85/E5/E3/2</f>
        <v>44.117647058823529</v>
      </c>
      <c r="R27" s="118"/>
      <c r="S27" s="118"/>
      <c r="T27" s="116"/>
      <c r="V27" s="113"/>
      <c r="W27" s="118"/>
      <c r="X27" s="118" t="s">
        <v>242</v>
      </c>
      <c r="Y27" s="118" t="s">
        <v>287</v>
      </c>
      <c r="Z27" s="118" t="s">
        <v>288</v>
      </c>
      <c r="AA27" s="118"/>
      <c r="AB27" s="116"/>
      <c r="AC27" s="105"/>
      <c r="AJ27"/>
      <c r="AK27"/>
      <c r="AL27"/>
      <c r="AM27"/>
      <c r="AN27"/>
      <c r="AO27"/>
      <c r="AP27"/>
      <c r="AQ27"/>
      <c r="AR27"/>
    </row>
    <row r="28" spans="2:45" ht="13.5" thickBot="1" x14ac:dyDescent="0.25">
      <c r="B28" s="105"/>
      <c r="C28" s="105"/>
      <c r="D28" s="105"/>
      <c r="E28" s="105"/>
      <c r="F28" s="105"/>
      <c r="G28" s="105"/>
      <c r="H28" s="105"/>
      <c r="I28" s="105"/>
      <c r="J28" s="105"/>
      <c r="M28" s="105"/>
      <c r="N28" s="113"/>
      <c r="O28" s="118"/>
      <c r="P28" s="125" t="s">
        <v>253</v>
      </c>
      <c r="Q28" s="193">
        <f>-E6*R23</f>
        <v>-487.5</v>
      </c>
      <c r="R28" s="118"/>
      <c r="S28" s="118"/>
      <c r="T28" s="116"/>
      <c r="V28" s="113"/>
      <c r="W28" s="114" t="str">
        <f>D23</f>
        <v>2nd Layer</v>
      </c>
      <c r="X28" s="118">
        <f>I23</f>
        <v>0</v>
      </c>
      <c r="Y28" s="118">
        <f>IF(ISNUMBER(VLOOKUP(E23,'Bar Sizes'!$D$8:$J$18,7)),VLOOKUP(E23,'Bar Sizes'!$D$8:$J$18,7),0)</f>
        <v>0</v>
      </c>
      <c r="Z28" s="118">
        <f>E4-E11-Z39-Y29-E25-Y28/2</f>
        <v>6.75</v>
      </c>
      <c r="AA28" s="118">
        <f>Z28*X28</f>
        <v>0</v>
      </c>
      <c r="AB28" s="116"/>
      <c r="AC28" s="105"/>
    </row>
    <row r="29" spans="2:45" x14ac:dyDescent="0.2">
      <c r="C29" s="106" t="s">
        <v>289</v>
      </c>
      <c r="D29" s="107"/>
      <c r="E29" s="107"/>
      <c r="F29" s="107"/>
      <c r="G29" s="107"/>
      <c r="H29" s="107"/>
      <c r="I29" s="107"/>
      <c r="J29" s="108"/>
      <c r="M29" s="105"/>
      <c r="N29" s="113"/>
      <c r="O29" s="118"/>
      <c r="P29" s="125" t="s">
        <v>254</v>
      </c>
      <c r="Q29" s="118">
        <f>E7/Q24</f>
        <v>345.92916666666667</v>
      </c>
      <c r="R29" s="118"/>
      <c r="S29" s="118"/>
      <c r="T29" s="116"/>
      <c r="V29" s="113"/>
      <c r="W29" s="114" t="str">
        <f>D24</f>
        <v>Bottom Layer</v>
      </c>
      <c r="X29" s="118">
        <f>I24</f>
        <v>0.88</v>
      </c>
      <c r="Y29" s="118">
        <f>IF(ISNUMBER(VLOOKUP(E24,'Bar Sizes'!$D$8:$J$18,7)),VLOOKUP(E24,'Bar Sizes'!$D$8:$J$18,7),0)</f>
        <v>0.75</v>
      </c>
      <c r="Z29" s="118">
        <f>E4-E11-Z39-Y29/2</f>
        <v>8.125</v>
      </c>
      <c r="AA29" s="118">
        <f>Z29*X29</f>
        <v>7.15</v>
      </c>
      <c r="AB29" s="116"/>
      <c r="AC29" s="105"/>
    </row>
    <row r="30" spans="2:45" x14ac:dyDescent="0.2">
      <c r="C30" s="113"/>
      <c r="D30" s="114" t="s">
        <v>290</v>
      </c>
      <c r="E30" s="178">
        <f>I25*E6*(AA31-I25*E6/(0.85*E5*E3*2))</f>
        <v>394.83529411764704</v>
      </c>
      <c r="F30" s="119" t="s">
        <v>251</v>
      </c>
      <c r="G30" s="119"/>
      <c r="H30" s="118"/>
      <c r="I30" s="114" t="s">
        <v>291</v>
      </c>
      <c r="J30" s="194">
        <f>Z35</f>
        <v>0</v>
      </c>
      <c r="K30" s="198"/>
      <c r="M30" s="105"/>
      <c r="N30" s="113"/>
      <c r="O30" s="118"/>
      <c r="P30" s="125" t="s">
        <v>257</v>
      </c>
      <c r="Q30" s="118">
        <f>(-Q28-SQRT(Q28*Q28-4*Q27*Q29))/2/Q27</f>
        <v>0.76216850089267918</v>
      </c>
      <c r="R30" s="118"/>
      <c r="S30" s="118"/>
      <c r="T30" s="116"/>
      <c r="U30" s="105"/>
      <c r="V30" s="113"/>
      <c r="W30" s="118"/>
      <c r="X30" s="118">
        <f>I25</f>
        <v>0.88</v>
      </c>
      <c r="Y30" s="118"/>
      <c r="Z30" s="118"/>
      <c r="AA30" s="118">
        <f>SUM(AA28:AA29)</f>
        <v>7.15</v>
      </c>
      <c r="AB30" s="116"/>
      <c r="AC30" s="105"/>
      <c r="AD30" s="105"/>
      <c r="AE30" s="105"/>
      <c r="AF30" s="105"/>
      <c r="AH30" s="105"/>
    </row>
    <row r="31" spans="2:45" x14ac:dyDescent="0.2">
      <c r="C31" s="113"/>
      <c r="D31" s="114" t="s">
        <v>292</v>
      </c>
      <c r="E31" s="195">
        <f>Z36</f>
        <v>0</v>
      </c>
      <c r="F31" s="119"/>
      <c r="G31" s="119"/>
      <c r="H31" s="192"/>
      <c r="I31" s="196" t="str">
        <f>IF(Z35&gt;=0.005,"Tension Controlled, OK",IF(Z35&lt;0.004,"Over-Reinforced, NG","Transition Zone, OK"))</f>
        <v>Over-Reinforced, NG</v>
      </c>
      <c r="J31" s="197"/>
      <c r="K31" s="198"/>
      <c r="M31" s="105"/>
      <c r="N31" s="113"/>
      <c r="O31" s="118"/>
      <c r="P31" s="125" t="s">
        <v>260</v>
      </c>
      <c r="Q31" s="118">
        <f>(-Q28+SQRT(Q28*Q28-4*Q27*Q29))/2/Q27</f>
        <v>10.287831499107321</v>
      </c>
      <c r="R31" s="114" t="s">
        <v>295</v>
      </c>
      <c r="S31" s="192">
        <f>MIN(Q30:Q31)</f>
        <v>0.76216850089267918</v>
      </c>
      <c r="T31" s="116"/>
      <c r="U31" s="105"/>
      <c r="V31" s="113"/>
      <c r="W31" s="118"/>
      <c r="X31" s="118"/>
      <c r="Y31" s="118"/>
      <c r="Z31" s="114" t="s">
        <v>283</v>
      </c>
      <c r="AA31" s="118">
        <f>AA30/X30</f>
        <v>8.125</v>
      </c>
      <c r="AB31" s="116"/>
      <c r="AC31" s="105"/>
      <c r="AD31" s="105"/>
      <c r="AE31" s="105"/>
      <c r="AF31" s="105"/>
      <c r="AH31" s="105"/>
    </row>
    <row r="32" spans="2:45" ht="13.5" thickBot="1" x14ac:dyDescent="0.25">
      <c r="C32" s="138"/>
      <c r="D32" s="190" t="s">
        <v>293</v>
      </c>
      <c r="E32" s="199">
        <f>E30*Z36</f>
        <v>0</v>
      </c>
      <c r="F32" s="200" t="s">
        <v>251</v>
      </c>
      <c r="G32" s="127"/>
      <c r="H32" s="200"/>
      <c r="I32" s="128" t="s">
        <v>294</v>
      </c>
      <c r="J32" s="201">
        <f>E32/E7</f>
        <v>0</v>
      </c>
      <c r="K32" s="198"/>
      <c r="M32" s="105"/>
      <c r="N32" s="113"/>
      <c r="O32" s="118"/>
      <c r="P32" s="118"/>
      <c r="Q32" s="118"/>
      <c r="R32" s="118"/>
      <c r="S32" s="118"/>
      <c r="T32" s="116"/>
      <c r="U32" s="105"/>
      <c r="V32" s="138"/>
      <c r="W32" s="160"/>
      <c r="X32" s="160"/>
      <c r="Y32" s="160"/>
      <c r="Z32" s="128" t="s">
        <v>296</v>
      </c>
      <c r="AA32" s="160">
        <f>MAX(Z28:Z29)</f>
        <v>8.125</v>
      </c>
      <c r="AB32" s="129"/>
      <c r="AC32" s="105"/>
      <c r="AD32" s="105"/>
      <c r="AE32" s="105"/>
      <c r="AF32" s="105"/>
      <c r="AH32" s="105"/>
    </row>
    <row r="33" spans="2:34" x14ac:dyDescent="0.2">
      <c r="C33"/>
      <c r="D33"/>
      <c r="E33"/>
      <c r="F33"/>
      <c r="G33"/>
      <c r="H33"/>
      <c r="I33"/>
      <c r="J33"/>
      <c r="K33" s="122"/>
      <c r="M33" s="105"/>
      <c r="N33" s="113"/>
      <c r="O33" s="192" t="s">
        <v>297</v>
      </c>
      <c r="P33" s="118"/>
      <c r="Q33" s="118"/>
      <c r="R33" s="118"/>
      <c r="S33" s="118"/>
      <c r="T33" s="116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H33" s="105"/>
    </row>
    <row r="34" spans="2:34" x14ac:dyDescent="0.2">
      <c r="C34"/>
      <c r="D34"/>
      <c r="E34"/>
      <c r="F34"/>
      <c r="G34"/>
      <c r="H34"/>
      <c r="I34"/>
      <c r="J34"/>
      <c r="K34" s="122"/>
      <c r="M34" s="105"/>
      <c r="N34" s="113"/>
      <c r="O34" s="118"/>
      <c r="P34" s="114" t="s">
        <v>290</v>
      </c>
      <c r="Q34" s="118">
        <f>S31*E6*(R23-S31*E6/(0.85*E5*E3*2))</f>
        <v>345.92916666666667</v>
      </c>
      <c r="R34" s="118"/>
      <c r="S34" s="118"/>
      <c r="T34" s="116"/>
      <c r="U34" s="105"/>
      <c r="V34"/>
      <c r="W34"/>
      <c r="X34"/>
      <c r="Y34"/>
      <c r="Z34"/>
      <c r="AA34"/>
      <c r="AB34"/>
      <c r="AC34"/>
      <c r="AD34"/>
      <c r="AE34"/>
      <c r="AF34"/>
      <c r="AG34" s="105"/>
      <c r="AH34" s="105"/>
    </row>
    <row r="35" spans="2:34" x14ac:dyDescent="0.2">
      <c r="C35"/>
      <c r="D35"/>
      <c r="E35"/>
      <c r="F35"/>
      <c r="G35"/>
      <c r="H35"/>
      <c r="I35"/>
      <c r="J35"/>
      <c r="K35" s="122"/>
      <c r="M35" s="105"/>
      <c r="N35" s="113"/>
      <c r="O35" s="118"/>
      <c r="P35" s="114" t="s">
        <v>293</v>
      </c>
      <c r="Q35" s="118">
        <f>Q34*Q24</f>
        <v>311.33625000000001</v>
      </c>
      <c r="R35" s="118" t="s">
        <v>299</v>
      </c>
      <c r="S35" s="118"/>
      <c r="T35" s="116"/>
      <c r="U35" s="105"/>
      <c r="V35"/>
      <c r="W35"/>
      <c r="X35"/>
      <c r="Y35"/>
      <c r="Z35"/>
      <c r="AA35"/>
      <c r="AB35"/>
      <c r="AC35"/>
      <c r="AD35"/>
      <c r="AE35"/>
      <c r="AF35"/>
      <c r="AG35" s="105"/>
      <c r="AH35" s="105"/>
    </row>
    <row r="36" spans="2:34" x14ac:dyDescent="0.2">
      <c r="C36"/>
      <c r="D36"/>
      <c r="E36"/>
      <c r="F36"/>
      <c r="G36"/>
      <c r="H36"/>
      <c r="I36"/>
      <c r="J36"/>
      <c r="K36" s="122"/>
      <c r="M36" s="105"/>
      <c r="N36" s="113"/>
      <c r="O36" s="118"/>
      <c r="P36" s="118" t="s">
        <v>301</v>
      </c>
      <c r="Q36" s="118"/>
      <c r="R36" s="118"/>
      <c r="S36" s="118"/>
      <c r="T36" s="116"/>
      <c r="U36" s="105"/>
      <c r="V36"/>
      <c r="W36"/>
      <c r="X36"/>
      <c r="Y36"/>
      <c r="Z36"/>
      <c r="AA36"/>
      <c r="AB36"/>
      <c r="AC36"/>
      <c r="AD36"/>
      <c r="AE36"/>
      <c r="AF36"/>
      <c r="AG36" s="105"/>
      <c r="AH36" s="105"/>
    </row>
    <row r="37" spans="2:34" x14ac:dyDescent="0.2">
      <c r="C37"/>
      <c r="D37"/>
      <c r="E37"/>
      <c r="F37"/>
      <c r="G37"/>
      <c r="H37"/>
      <c r="I37"/>
      <c r="J37"/>
      <c r="M37" s="105"/>
      <c r="N37" s="113"/>
      <c r="O37" s="118"/>
      <c r="P37" s="118"/>
      <c r="Q37" s="192" t="str">
        <f>G17</f>
        <v>Tension Controlled, OK</v>
      </c>
      <c r="R37" s="118"/>
      <c r="S37" s="118"/>
      <c r="T37" s="116"/>
      <c r="U37" s="105"/>
      <c r="V37"/>
      <c r="W37"/>
      <c r="X37"/>
      <c r="Y37"/>
      <c r="Z37"/>
      <c r="AA37"/>
      <c r="AB37"/>
      <c r="AC37"/>
      <c r="AD37"/>
      <c r="AE37"/>
      <c r="AF37"/>
      <c r="AG37" s="105"/>
      <c r="AH37" s="105"/>
    </row>
    <row r="38" spans="2:34" x14ac:dyDescent="0.2">
      <c r="C38"/>
      <c r="D38"/>
      <c r="E38"/>
      <c r="F38"/>
      <c r="G38"/>
      <c r="H38"/>
      <c r="I38"/>
      <c r="J38"/>
      <c r="K38" s="122"/>
      <c r="M38" s="105"/>
      <c r="N38" s="113"/>
      <c r="O38" s="192" t="s">
        <v>304</v>
      </c>
      <c r="P38" s="118"/>
      <c r="Q38" s="118"/>
      <c r="R38" s="118"/>
      <c r="S38" s="118"/>
      <c r="T38" s="116"/>
      <c r="U38" s="105"/>
      <c r="V38"/>
      <c r="W38"/>
      <c r="X38"/>
      <c r="Y38"/>
      <c r="Z38"/>
      <c r="AA38"/>
      <c r="AB38"/>
      <c r="AC38"/>
      <c r="AD38"/>
      <c r="AE38"/>
      <c r="AF38"/>
    </row>
    <row r="39" spans="2:34" x14ac:dyDescent="0.2">
      <c r="C39"/>
      <c r="D39"/>
      <c r="E39"/>
      <c r="F39"/>
      <c r="G39"/>
      <c r="H39"/>
      <c r="I39"/>
      <c r="J39"/>
      <c r="M39" s="105"/>
      <c r="N39" s="113"/>
      <c r="O39" s="118"/>
      <c r="P39" s="118"/>
      <c r="Q39" s="114" t="s">
        <v>305</v>
      </c>
      <c r="R39" s="179">
        <f>X25</f>
        <v>8.125</v>
      </c>
      <c r="S39" s="118" t="s">
        <v>205</v>
      </c>
      <c r="T39" s="116"/>
      <c r="U39" s="105"/>
      <c r="V39"/>
      <c r="W39"/>
      <c r="X39"/>
      <c r="Y39"/>
      <c r="Z39"/>
      <c r="AA39"/>
      <c r="AB39"/>
      <c r="AC39"/>
      <c r="AD39"/>
      <c r="AE39"/>
      <c r="AF39"/>
    </row>
    <row r="40" spans="2:34" x14ac:dyDescent="0.2">
      <c r="C40"/>
      <c r="D40"/>
      <c r="E40"/>
      <c r="F40"/>
      <c r="G40"/>
      <c r="H40"/>
      <c r="I40"/>
      <c r="J40"/>
      <c r="M40" s="105"/>
      <c r="N40" s="113"/>
      <c r="O40" s="118"/>
      <c r="P40" s="118"/>
      <c r="Q40" s="114" t="s">
        <v>306</v>
      </c>
      <c r="R40" s="118">
        <f>IF(E5&lt;=4,0.85,IF(E5&gt;=8,0.65,0.65+(8-E5)/20))</f>
        <v>0.85</v>
      </c>
      <c r="S40" s="118"/>
      <c r="T40" s="116"/>
      <c r="U40" s="105"/>
      <c r="V40"/>
      <c r="W40"/>
      <c r="X40"/>
      <c r="Y40"/>
      <c r="Z40"/>
      <c r="AA40"/>
      <c r="AB40"/>
      <c r="AC40"/>
      <c r="AD40"/>
      <c r="AE40"/>
      <c r="AF40"/>
    </row>
    <row r="41" spans="2:34" x14ac:dyDescent="0.2">
      <c r="C41"/>
      <c r="D41"/>
      <c r="E41"/>
      <c r="F41"/>
      <c r="G41"/>
      <c r="H41"/>
      <c r="I41"/>
      <c r="J41"/>
      <c r="M41" s="105"/>
      <c r="N41" s="113"/>
      <c r="O41" s="118"/>
      <c r="P41" s="118"/>
      <c r="Q41" s="114" t="s">
        <v>307</v>
      </c>
      <c r="R41" s="118">
        <f>S31*E6/(0.85*E5*E3*R40)</f>
        <v>1.3186306243817978</v>
      </c>
      <c r="S41" s="118" t="s">
        <v>205</v>
      </c>
      <c r="T41" s="116"/>
      <c r="U41" s="105"/>
      <c r="V41"/>
      <c r="W41"/>
      <c r="X41"/>
      <c r="Y41"/>
      <c r="Z41"/>
      <c r="AA41"/>
      <c r="AB41"/>
      <c r="AC41"/>
      <c r="AD41"/>
      <c r="AE41"/>
      <c r="AF41"/>
    </row>
    <row r="42" spans="2:34" x14ac:dyDescent="0.2">
      <c r="C42"/>
      <c r="D42"/>
      <c r="E42"/>
      <c r="F42"/>
      <c r="G42"/>
      <c r="H42"/>
      <c r="I42"/>
      <c r="J42"/>
      <c r="M42" s="105"/>
      <c r="N42" s="113"/>
      <c r="O42" s="118"/>
      <c r="P42" s="118"/>
      <c r="Q42" s="114" t="s">
        <v>300</v>
      </c>
      <c r="R42" s="204">
        <f>0.003*(R39/R41-1)</f>
        <v>1.5485085625421086E-2</v>
      </c>
      <c r="S42" s="118"/>
      <c r="T42" s="116"/>
      <c r="U42" s="105"/>
      <c r="V42"/>
      <c r="W42"/>
      <c r="X42"/>
      <c r="Y42"/>
      <c r="Z42"/>
      <c r="AA42"/>
      <c r="AB42"/>
      <c r="AC42"/>
      <c r="AD42"/>
      <c r="AE42"/>
      <c r="AF42"/>
    </row>
    <row r="43" spans="2:34" x14ac:dyDescent="0.2">
      <c r="B43"/>
      <c r="C43"/>
      <c r="D43"/>
      <c r="E43"/>
      <c r="F43"/>
      <c r="G43"/>
      <c r="H43"/>
      <c r="I43"/>
      <c r="J43"/>
      <c r="K43"/>
      <c r="M43" s="105"/>
      <c r="N43" s="113"/>
      <c r="O43" s="118"/>
      <c r="P43" s="118"/>
      <c r="Q43" s="118"/>
      <c r="R43" s="105"/>
      <c r="S43" s="118"/>
      <c r="T43" s="116"/>
      <c r="U43" s="105"/>
      <c r="V43"/>
      <c r="W43"/>
      <c r="X43"/>
      <c r="Y43"/>
      <c r="Z43"/>
      <c r="AA43"/>
      <c r="AB43"/>
      <c r="AC43"/>
      <c r="AD43"/>
      <c r="AE43"/>
      <c r="AF43"/>
    </row>
    <row r="44" spans="2:34" ht="13.5" thickBot="1" x14ac:dyDescent="0.25">
      <c r="B44"/>
      <c r="C44"/>
      <c r="D44"/>
      <c r="E44"/>
      <c r="H44"/>
      <c r="I44"/>
      <c r="J44"/>
      <c r="K44"/>
      <c r="M44" s="105"/>
      <c r="N44" s="113"/>
      <c r="O44" s="118"/>
      <c r="P44" s="118"/>
      <c r="Q44" s="114" t="s">
        <v>308</v>
      </c>
      <c r="R44" s="118"/>
      <c r="S44" s="118"/>
      <c r="T44" s="116"/>
      <c r="U44" s="105"/>
      <c r="V44"/>
      <c r="W44"/>
      <c r="X44"/>
      <c r="Y44"/>
      <c r="Z44"/>
      <c r="AA44"/>
      <c r="AB44"/>
      <c r="AC44"/>
      <c r="AD44"/>
      <c r="AE44"/>
      <c r="AF44"/>
    </row>
    <row r="45" spans="2:34" x14ac:dyDescent="0.2">
      <c r="B45"/>
      <c r="C45" s="72" t="s">
        <v>344</v>
      </c>
      <c r="D45" s="4"/>
      <c r="E45" s="4"/>
      <c r="F45" s="4"/>
      <c r="G45" s="4"/>
      <c r="H45" s="4"/>
      <c r="I45" s="4"/>
      <c r="J45" s="5"/>
      <c r="K45"/>
      <c r="M45" s="105"/>
      <c r="N45" s="113"/>
      <c r="O45" s="118"/>
      <c r="P45" s="118"/>
      <c r="Q45" s="118" t="s">
        <v>309</v>
      </c>
      <c r="R45" s="118" t="s">
        <v>310</v>
      </c>
      <c r="S45" s="118"/>
      <c r="T45" s="116"/>
      <c r="U45" s="105"/>
      <c r="V45"/>
      <c r="W45"/>
      <c r="X45"/>
      <c r="Y45"/>
      <c r="Z45"/>
      <c r="AA45"/>
      <c r="AB45"/>
      <c r="AC45"/>
      <c r="AD45"/>
      <c r="AE45"/>
      <c r="AF45"/>
    </row>
    <row r="46" spans="2:34" x14ac:dyDescent="0.2">
      <c r="B46"/>
      <c r="C46" s="37"/>
      <c r="D46" s="38" t="s">
        <v>349</v>
      </c>
      <c r="E46" s="38"/>
      <c r="F46" s="38"/>
      <c r="G46" s="38"/>
      <c r="H46" s="38"/>
      <c r="I46" s="38"/>
      <c r="J46" s="7"/>
      <c r="K46"/>
      <c r="M46" s="105"/>
      <c r="N46" s="113"/>
      <c r="O46" s="118"/>
      <c r="P46" s="114" t="s">
        <v>311</v>
      </c>
      <c r="Q46" s="118">
        <v>5.0000000000000001E-3</v>
      </c>
      <c r="R46" s="118">
        <v>0.9</v>
      </c>
      <c r="S46" s="118"/>
      <c r="T46" s="116"/>
      <c r="U46" s="105"/>
      <c r="V46"/>
      <c r="W46"/>
      <c r="X46"/>
      <c r="Y46"/>
      <c r="Z46"/>
      <c r="AA46"/>
      <c r="AB46"/>
      <c r="AC46"/>
      <c r="AD46"/>
      <c r="AE46"/>
      <c r="AF46"/>
    </row>
    <row r="47" spans="2:34" x14ac:dyDescent="0.2">
      <c r="B47"/>
      <c r="C47" s="37"/>
      <c r="D47" s="43" t="s">
        <v>345</v>
      </c>
      <c r="E47" s="58">
        <f>E4-AA31</f>
        <v>2.875</v>
      </c>
      <c r="F47" s="38" t="s">
        <v>204</v>
      </c>
      <c r="G47" s="38"/>
      <c r="H47" s="38"/>
      <c r="I47" s="38"/>
      <c r="J47" s="7"/>
      <c r="K47"/>
      <c r="M47" s="105"/>
      <c r="N47" s="113"/>
      <c r="O47" s="118"/>
      <c r="P47" s="114" t="s">
        <v>312</v>
      </c>
      <c r="Q47" s="118">
        <f>E6/29000</f>
        <v>2.0689655172413794E-3</v>
      </c>
      <c r="R47" s="118">
        <v>0.65</v>
      </c>
      <c r="S47" s="118"/>
      <c r="T47" s="116"/>
      <c r="U47" s="105"/>
      <c r="V47"/>
      <c r="W47"/>
      <c r="X47"/>
      <c r="Y47"/>
      <c r="Z47"/>
      <c r="AA47"/>
      <c r="AB47"/>
      <c r="AC47"/>
      <c r="AD47"/>
      <c r="AE47"/>
      <c r="AF47"/>
    </row>
    <row r="48" spans="2:34" x14ac:dyDescent="0.2">
      <c r="B48"/>
      <c r="C48" s="37"/>
      <c r="D48" s="43" t="s">
        <v>346</v>
      </c>
      <c r="E48" s="38">
        <v>0.75</v>
      </c>
      <c r="F48" s="38" t="s">
        <v>350</v>
      </c>
      <c r="G48" s="38"/>
      <c r="H48" s="38"/>
      <c r="I48" s="38"/>
      <c r="J48" s="7"/>
      <c r="K48"/>
      <c r="M48" s="105"/>
      <c r="N48" s="113"/>
      <c r="O48" s="118"/>
      <c r="P48" s="114" t="s">
        <v>313</v>
      </c>
      <c r="Q48" s="118">
        <f>R42</f>
        <v>1.5485085625421086E-2</v>
      </c>
      <c r="R48" s="118">
        <f>R47+(R46-R47)/(Q46-Q47)*(Q48-Q47)</f>
        <v>1.7943161268741514</v>
      </c>
      <c r="S48" s="118"/>
      <c r="T48" s="116"/>
      <c r="U48" s="105"/>
      <c r="V48"/>
      <c r="W48"/>
      <c r="X48"/>
      <c r="Y48"/>
      <c r="Z48"/>
      <c r="AA48"/>
      <c r="AB48"/>
      <c r="AC48"/>
      <c r="AD48"/>
      <c r="AE48"/>
      <c r="AF48"/>
    </row>
    <row r="49" spans="2:34" x14ac:dyDescent="0.2">
      <c r="B49"/>
      <c r="C49" s="37"/>
      <c r="D49" s="43" t="s">
        <v>347</v>
      </c>
      <c r="E49" s="38">
        <f>Z19+AG19</f>
        <v>29.63</v>
      </c>
      <c r="F49" s="38" t="s">
        <v>52</v>
      </c>
      <c r="G49" s="38"/>
      <c r="H49" s="38"/>
      <c r="I49" s="38"/>
      <c r="J49" s="7"/>
      <c r="K49"/>
      <c r="M49" s="105"/>
      <c r="N49" s="113"/>
      <c r="O49" s="118"/>
      <c r="P49" s="118"/>
      <c r="Q49" s="114" t="s">
        <v>314</v>
      </c>
      <c r="R49" s="118">
        <f>IF(R48&gt;R46,R46,IF(R48&lt;R47,R47,R48))</f>
        <v>0.9</v>
      </c>
      <c r="S49" s="118"/>
      <c r="T49" s="116"/>
      <c r="U49" s="105"/>
      <c r="V49"/>
      <c r="W49"/>
      <c r="X49"/>
      <c r="Y49"/>
      <c r="Z49"/>
      <c r="AA49"/>
      <c r="AB49"/>
      <c r="AC49"/>
      <c r="AD49"/>
      <c r="AE49"/>
      <c r="AF49"/>
    </row>
    <row r="50" spans="2:34" ht="13.5" thickBot="1" x14ac:dyDescent="0.25">
      <c r="B50"/>
      <c r="C50" s="37"/>
      <c r="D50" s="43" t="s">
        <v>348</v>
      </c>
      <c r="E50" s="149">
        <f>E4</f>
        <v>11</v>
      </c>
      <c r="F50" s="38" t="s">
        <v>204</v>
      </c>
      <c r="G50" s="38"/>
      <c r="H50" s="38"/>
      <c r="I50" s="38"/>
      <c r="J50" s="7"/>
      <c r="K50"/>
      <c r="M50" s="105"/>
      <c r="N50" s="206"/>
      <c r="O50" s="207"/>
      <c r="P50" s="207"/>
      <c r="Q50" s="207"/>
      <c r="R50" s="208" t="str">
        <f>IF(R49=Q24,"Phi Matches","Phi Doesn't Match, Error = "&amp;TEXT(R49-Q24,"0.0000###"))</f>
        <v>Phi Matches</v>
      </c>
      <c r="S50" s="207"/>
      <c r="T50" s="209"/>
      <c r="U50" s="105"/>
      <c r="V50"/>
      <c r="W50"/>
      <c r="X50"/>
      <c r="Y50"/>
      <c r="Z50"/>
      <c r="AA50"/>
      <c r="AB50"/>
      <c r="AC50"/>
      <c r="AD50"/>
      <c r="AE50"/>
      <c r="AF50"/>
      <c r="AG50" s="105"/>
      <c r="AH50" s="105"/>
    </row>
    <row r="51" spans="2:34" ht="14.25" x14ac:dyDescent="0.25">
      <c r="B51"/>
      <c r="C51" s="37"/>
      <c r="D51" s="38"/>
      <c r="E51" s="38"/>
      <c r="F51" s="38"/>
      <c r="G51" s="38"/>
      <c r="H51" s="38"/>
      <c r="I51" s="38"/>
      <c r="J51" s="7"/>
      <c r="K51"/>
      <c r="M51" s="105"/>
      <c r="N51" s="202"/>
      <c r="O51" s="107"/>
      <c r="P51" s="205" t="s">
        <v>324</v>
      </c>
      <c r="Q51" s="107"/>
      <c r="R51" s="107"/>
      <c r="S51" s="107"/>
      <c r="T51" s="108"/>
      <c r="U51" s="105"/>
      <c r="V51"/>
      <c r="W51"/>
      <c r="X51"/>
      <c r="Y51"/>
      <c r="Z51"/>
      <c r="AA51"/>
      <c r="AB51"/>
      <c r="AC51"/>
      <c r="AD51"/>
      <c r="AE51"/>
      <c r="AF51"/>
      <c r="AG51" s="105"/>
      <c r="AH51" s="105"/>
    </row>
    <row r="52" spans="2:34" x14ac:dyDescent="0.2">
      <c r="B52"/>
      <c r="C52" s="37"/>
      <c r="D52" s="43" t="s">
        <v>351</v>
      </c>
      <c r="E52" s="68">
        <f>1+E47/0.7/(E50-E47)</f>
        <v>1.5054945054945055</v>
      </c>
      <c r="F52" s="38"/>
      <c r="G52" s="38"/>
      <c r="H52" s="38"/>
      <c r="I52" s="38"/>
      <c r="J52" s="7"/>
      <c r="K52"/>
      <c r="M52" s="105"/>
      <c r="N52" s="113"/>
      <c r="O52" s="118"/>
      <c r="P52" s="118"/>
      <c r="Q52" s="114" t="s">
        <v>315</v>
      </c>
      <c r="R52" s="118"/>
      <c r="S52" s="118"/>
      <c r="T52" s="116"/>
      <c r="U52" s="105"/>
      <c r="V52"/>
      <c r="W52"/>
      <c r="X52"/>
      <c r="Y52"/>
      <c r="Z52"/>
      <c r="AA52"/>
      <c r="AB52"/>
      <c r="AC52"/>
      <c r="AD52"/>
      <c r="AE52"/>
      <c r="AF52"/>
      <c r="AG52" s="105"/>
      <c r="AH52" s="105"/>
    </row>
    <row r="53" spans="2:34" ht="14.25" x14ac:dyDescent="0.2">
      <c r="B53"/>
      <c r="C53" s="37"/>
      <c r="D53" s="38"/>
      <c r="E53" s="38"/>
      <c r="F53" s="38"/>
      <c r="G53" s="38"/>
      <c r="H53" s="38"/>
      <c r="I53" s="38"/>
      <c r="J53" s="7"/>
      <c r="K53"/>
      <c r="M53" s="105"/>
      <c r="N53" s="113"/>
      <c r="O53" s="118"/>
      <c r="P53" s="118"/>
      <c r="Q53" s="114" t="s">
        <v>316</v>
      </c>
      <c r="R53" s="153">
        <f>3*SQRT(E5*1000)*E3*R23/E6/1000</f>
        <v>0.30832207186641697</v>
      </c>
      <c r="S53" s="118" t="s">
        <v>320</v>
      </c>
      <c r="T53" s="116"/>
      <c r="U53" s="105"/>
      <c r="V53"/>
      <c r="W53"/>
      <c r="X53"/>
      <c r="Y53"/>
      <c r="Z53"/>
      <c r="AA53"/>
      <c r="AB53"/>
      <c r="AC53"/>
      <c r="AD53"/>
      <c r="AE53"/>
      <c r="AF53"/>
      <c r="AG53" s="105"/>
      <c r="AH53" s="105"/>
    </row>
    <row r="54" spans="2:34" ht="14.25" x14ac:dyDescent="0.2">
      <c r="B54"/>
      <c r="C54" s="37"/>
      <c r="D54" s="43" t="s">
        <v>352</v>
      </c>
      <c r="E54" s="38">
        <f>700*E48/E52/E49-2*E47</f>
        <v>6.0192415706117544</v>
      </c>
      <c r="F54" s="38" t="s">
        <v>204</v>
      </c>
      <c r="G54" s="38"/>
      <c r="H54" s="38"/>
      <c r="I54" s="38"/>
      <c r="J54" s="7"/>
      <c r="K54"/>
      <c r="M54" s="105"/>
      <c r="N54" s="113"/>
      <c r="O54" s="118"/>
      <c r="P54" s="118"/>
      <c r="Q54" s="114" t="s">
        <v>317</v>
      </c>
      <c r="R54" s="153">
        <f>200*E3*R23/E6/1000</f>
        <v>0.32500000000000001</v>
      </c>
      <c r="S54" s="118" t="s">
        <v>320</v>
      </c>
      <c r="T54" s="116"/>
      <c r="U54" s="105"/>
      <c r="V54"/>
      <c r="W54"/>
      <c r="X54"/>
      <c r="Y54"/>
      <c r="Z54"/>
      <c r="AA54"/>
      <c r="AB54"/>
      <c r="AC54"/>
      <c r="AD54"/>
      <c r="AE54"/>
      <c r="AF54"/>
      <c r="AG54" s="105"/>
      <c r="AH54" s="105"/>
    </row>
    <row r="55" spans="2:34" ht="15" thickBot="1" x14ac:dyDescent="0.25">
      <c r="B55"/>
      <c r="C55" s="35"/>
      <c r="D55" s="36" t="s">
        <v>353</v>
      </c>
      <c r="E55" s="36">
        <f>INT(E54*4)/4</f>
        <v>6</v>
      </c>
      <c r="F55" s="36" t="s">
        <v>204</v>
      </c>
      <c r="G55" s="36"/>
      <c r="H55" s="36"/>
      <c r="I55" s="36"/>
      <c r="J55" s="13"/>
      <c r="K55"/>
      <c r="M55" s="105"/>
      <c r="N55" s="138"/>
      <c r="O55" s="160"/>
      <c r="P55" s="160"/>
      <c r="Q55" s="128" t="s">
        <v>318</v>
      </c>
      <c r="R55" s="159">
        <f>MAX(R53,R54,S31)</f>
        <v>0.76216850089267918</v>
      </c>
      <c r="S55" s="160" t="s">
        <v>320</v>
      </c>
      <c r="T55" s="129"/>
      <c r="U55" s="105"/>
      <c r="V55"/>
      <c r="W55"/>
      <c r="X55"/>
      <c r="Y55"/>
      <c r="Z55"/>
      <c r="AA55"/>
      <c r="AB55"/>
      <c r="AC55"/>
      <c r="AD55"/>
      <c r="AE55"/>
      <c r="AF55"/>
      <c r="AG55" s="105"/>
      <c r="AH55" s="105"/>
    </row>
    <row r="56" spans="2:34" x14ac:dyDescent="0.2">
      <c r="B56"/>
      <c r="C56"/>
      <c r="D56"/>
      <c r="E56"/>
      <c r="F56"/>
      <c r="G56"/>
      <c r="H56"/>
      <c r="I56"/>
      <c r="J56"/>
      <c r="K56"/>
      <c r="M56" s="105"/>
      <c r="N56" s="105"/>
      <c r="O56" s="105"/>
      <c r="P56" s="105"/>
      <c r="Q56" s="105"/>
      <c r="R56" s="105"/>
      <c r="S56" s="105"/>
      <c r="T56" s="105"/>
      <c r="U56" s="105"/>
      <c r="V56"/>
      <c r="W56"/>
      <c r="X56"/>
      <c r="Y56"/>
      <c r="Z56"/>
      <c r="AA56"/>
      <c r="AB56"/>
      <c r="AC56"/>
      <c r="AD56"/>
      <c r="AE56"/>
      <c r="AF56"/>
      <c r="AG56" s="105"/>
      <c r="AH56" s="105"/>
    </row>
    <row r="57" spans="2:34" x14ac:dyDescent="0.2"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</row>
  </sheetData>
  <phoneticPr fontId="0" type="noConversion"/>
  <conditionalFormatting sqref="E32">
    <cfRule type="cellIs" dxfId="4" priority="3" stopIfTrue="1" operator="lessThan">
      <formula>$E$7</formula>
    </cfRule>
  </conditionalFormatting>
  <conditionalFormatting sqref="G27:H27">
    <cfRule type="expression" dxfId="3" priority="4" stopIfTrue="1">
      <formula>$H$27&lt;1</formula>
    </cfRule>
  </conditionalFormatting>
  <conditionalFormatting sqref="I32:J32">
    <cfRule type="expression" dxfId="2" priority="5" stopIfTrue="1">
      <formula>$J$32&lt;1</formula>
    </cfRule>
  </conditionalFormatting>
  <conditionalFormatting sqref="I31">
    <cfRule type="expression" dxfId="1" priority="6" stopIfTrue="1">
      <formula>$AD$36</formula>
    </cfRule>
  </conditionalFormatting>
  <conditionalFormatting sqref="G16">
    <cfRule type="expression" dxfId="0" priority="7" stopIfTrue="1">
      <formula>$E$16&lt;&gt;$R$49</formula>
    </cfRule>
  </conditionalFormatting>
  <dataValidations count="2">
    <dataValidation type="list" showInputMessage="1" showErrorMessage="1" sqref="E23:E24">
      <formula1>$AK$3:$AK$14</formula1>
    </dataValidation>
    <dataValidation type="list" allowBlank="1" showInputMessage="1" showErrorMessage="1" sqref="E13">
      <formula1>$AK$4:$AK$7</formula1>
    </dataValidation>
  </dataValidations>
  <printOptions horizontalCentered="1" verticalCentered="1"/>
  <pageMargins left="0.56999999999999995" right="0.43" top="0.76" bottom="0.7" header="0.4" footer="0.36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27</vt:i4>
      </vt:variant>
    </vt:vector>
  </HeadingPairs>
  <TitlesOfParts>
    <vt:vector size="39" baseType="lpstr">
      <vt:lpstr>Custom Design Top</vt:lpstr>
      <vt:lpstr>Custom Design Bottom</vt:lpstr>
      <vt:lpstr>Bar Sizes</vt:lpstr>
      <vt:lpstr>Deck Design Worksheet</vt:lpstr>
      <vt:lpstr>LRFD Deck Charts</vt:lpstr>
      <vt:lpstr>Custom Design</vt:lpstr>
      <vt:lpstr>English LRFD</vt:lpstr>
      <vt:lpstr>English LRFD Working Area</vt:lpstr>
      <vt:lpstr>Find Required Area of Steel</vt:lpstr>
      <vt:lpstr>Rail Crash Loading</vt:lpstr>
      <vt:lpstr>Stephanie Work</vt:lpstr>
      <vt:lpstr>Dead Loads</vt:lpstr>
      <vt:lpstr>As_Req_Str</vt:lpstr>
      <vt:lpstr>Beam_List</vt:lpstr>
      <vt:lpstr>Btm_Cover</vt:lpstr>
      <vt:lpstr>Input_Bar_Size</vt:lpstr>
      <vt:lpstr>Input_Cover</vt:lpstr>
      <vt:lpstr>Input_Factored_M</vt:lpstr>
      <vt:lpstr>Input_Num_Bars</vt:lpstr>
      <vt:lpstr>Input_Service_M</vt:lpstr>
      <vt:lpstr>Input_Service_M_Dead</vt:lpstr>
      <vt:lpstr>Input_Slab_t</vt:lpstr>
      <vt:lpstr>Max_Space_Solved</vt:lpstr>
      <vt:lpstr>'Bar Sizes'!Print_Area</vt:lpstr>
      <vt:lpstr>'Custom Design'!Print_Area</vt:lpstr>
      <vt:lpstr>'Custom Design Bottom'!Print_Area</vt:lpstr>
      <vt:lpstr>'Custom Design Top'!Print_Area</vt:lpstr>
      <vt:lpstr>'Deck Design Worksheet'!Print_Area</vt:lpstr>
      <vt:lpstr>'English LRFD'!Print_Area</vt:lpstr>
      <vt:lpstr>'Find Required Area of Steel'!Print_Area</vt:lpstr>
      <vt:lpstr>'LRFD Deck Charts'!Print_Area</vt:lpstr>
      <vt:lpstr>'Rail Crash Loading'!Print_Area</vt:lpstr>
      <vt:lpstr>Rail_Sheet_Anchor</vt:lpstr>
      <vt:lpstr>RailTypes</vt:lpstr>
      <vt:lpstr>SlabBarSizes</vt:lpstr>
      <vt:lpstr>Spacing_Str</vt:lpstr>
      <vt:lpstr>Table_Anchor</vt:lpstr>
      <vt:lpstr>Top_Cover</vt:lpstr>
      <vt:lpstr>Wearing_Thick</vt:lpstr>
    </vt:vector>
  </TitlesOfParts>
  <Company>Montana Department of Transportation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Barnes</dc:creator>
  <cp:lastModifiedBy>Kent Barnes</cp:lastModifiedBy>
  <cp:lastPrinted>2015-06-05T16:08:45Z</cp:lastPrinted>
  <dcterms:created xsi:type="dcterms:W3CDTF">2009-01-05T16:06:02Z</dcterms:created>
  <dcterms:modified xsi:type="dcterms:W3CDTF">2015-06-05T16:10:40Z</dcterms:modified>
</cp:coreProperties>
</file>